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Grant Information\STOP Grant\"/>
    </mc:Choice>
  </mc:AlternateContent>
  <xr:revisionPtr revIDLastSave="0" documentId="13_ncr:1_{BB9413A8-C72D-40DF-970D-7CAFA48729FF}" xr6:coauthVersionLast="47" xr6:coauthVersionMax="47" xr10:uidLastSave="{00000000-0000-0000-0000-000000000000}"/>
  <bookViews>
    <workbookView xWindow="28680" yWindow="-120" windowWidth="29040" windowHeight="15840" xr2:uid="{00000000-000D-0000-FFFF-FFFF00000000}"/>
  </bookViews>
  <sheets>
    <sheet name="Quarterly SAPR Data" sheetId="12" r:id="rId1"/>
    <sheet name="Annual SAPR Data" sheetId="13" r:id="rId2"/>
    <sheet name="Victims Served_Partially Served" sheetId="1" r:id="rId3"/>
    <sheet name="Victims Not Served" sheetId="3" r:id="rId4"/>
    <sheet name="Service Log" sheetId="4" r:id="rId5"/>
    <sheet name="Victim_Offender Relationship" sheetId="6" r:id="rId6"/>
    <sheet name="Secondary Victims" sheetId="5" r:id="rId7"/>
    <sheet name="Shelter Services" sheetId="7" r:id="rId8"/>
    <sheet name="Hotlines" sheetId="8" r:id="rId9"/>
    <sheet name="Victim_Witness Outreach" sheetId="9" r:id="rId10"/>
    <sheet name="Protection Orders" sheetId="10" r:id="rId11"/>
    <sheet name="Lists" sheetId="2" r:id="rId12"/>
  </sheets>
  <definedNames>
    <definedName name="ddName" localSheetId="1">Table1[Name]</definedName>
    <definedName name="ddName" localSheetId="0">Table1[Name]</definedName>
    <definedName name="ddName">Table1[Name]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10" l="1"/>
  <c r="F3" i="10"/>
  <c r="E3" i="9"/>
  <c r="G2" i="8"/>
  <c r="F2" i="8"/>
  <c r="L5" i="7"/>
  <c r="H5" i="7"/>
  <c r="I3" i="5"/>
  <c r="H3" i="5"/>
  <c r="G3" i="5"/>
  <c r="F3" i="5"/>
  <c r="AR3" i="3"/>
  <c r="AQ3" i="3"/>
  <c r="AP3" i="3"/>
  <c r="AO3" i="3"/>
  <c r="AN3" i="3"/>
  <c r="AM3" i="3"/>
  <c r="AL3" i="3"/>
  <c r="AK3" i="3"/>
  <c r="AJ3" i="3"/>
  <c r="AI3" i="3"/>
  <c r="AH3" i="3"/>
  <c r="AG3" i="3"/>
  <c r="AF3" i="3"/>
  <c r="AE3" i="3"/>
  <c r="AD3" i="3"/>
  <c r="AC3" i="3"/>
  <c r="AB3" i="3"/>
  <c r="AA3" i="3"/>
  <c r="Z3" i="3"/>
  <c r="Y3" i="3"/>
  <c r="X3" i="3"/>
  <c r="C72" i="13" l="1"/>
  <c r="C71" i="13"/>
  <c r="C70" i="13"/>
  <c r="F3" i="4" l="1"/>
  <c r="K3" i="4" l="1"/>
  <c r="J3" i="4"/>
  <c r="I3" i="4"/>
  <c r="G3" i="4"/>
  <c r="S3" i="4"/>
  <c r="R3" i="4"/>
  <c r="Q3" i="4"/>
  <c r="P3" i="4"/>
  <c r="O3" i="4"/>
  <c r="N3" i="4"/>
  <c r="M3" i="4"/>
  <c r="D108" i="13" s="1"/>
  <c r="L3" i="4"/>
  <c r="C114" i="13" a="1"/>
  <c r="C114" i="13" s="1"/>
  <c r="C107" i="13" a="1"/>
  <c r="C107" i="13" s="1"/>
  <c r="C106" i="13" a="1"/>
  <c r="C106" i="13" s="1"/>
  <c r="C104" i="13" a="1"/>
  <c r="C104" i="13" s="1"/>
  <c r="C113" i="13" a="1"/>
  <c r="C113" i="13" s="1"/>
  <c r="C112" i="13" a="1"/>
  <c r="C112" i="13" s="1"/>
  <c r="C111" i="13" a="1"/>
  <c r="C111" i="13" s="1"/>
  <c r="C110" i="13" a="1"/>
  <c r="C110" i="13" s="1"/>
  <c r="C109" i="13" a="1"/>
  <c r="C109" i="13" s="1"/>
  <c r="C108" i="13" a="1"/>
  <c r="C108" i="13" s="1"/>
  <c r="C105" i="13" a="1"/>
  <c r="C105" i="13" s="1"/>
  <c r="D104" i="13"/>
  <c r="G6" i="6"/>
  <c r="BD6" i="6" l="1"/>
  <c r="BK6" i="6"/>
  <c r="BJ6" i="6"/>
  <c r="BI6" i="6"/>
  <c r="BF6" i="6"/>
  <c r="BH6" i="6"/>
  <c r="BG6" i="6"/>
  <c r="BE6" i="6"/>
  <c r="AP6" i="6"/>
  <c r="AW6" i="6"/>
  <c r="BK3" i="1" a="1"/>
  <c r="BK3" i="1" s="1"/>
  <c r="BK4" i="1" a="1"/>
  <c r="BK4" i="1" s="1"/>
  <c r="F96" i="12" l="1"/>
  <c r="D99" i="12"/>
  <c r="F98" i="12"/>
  <c r="F97" i="12"/>
  <c r="F100" i="12"/>
  <c r="C99" i="12"/>
  <c r="F95" i="12"/>
  <c r="F99" i="12"/>
  <c r="F94" i="12"/>
  <c r="E99" i="12"/>
  <c r="BX4" i="1"/>
  <c r="DK4" i="1"/>
  <c r="DJ4" i="1"/>
  <c r="DI4" i="1"/>
  <c r="DH4" i="1"/>
  <c r="DG4" i="1"/>
  <c r="DF4" i="1"/>
  <c r="DE4" i="1"/>
  <c r="BX3" i="1"/>
  <c r="DK3" i="1"/>
  <c r="DJ3" i="1"/>
  <c r="DI3" i="1"/>
  <c r="DH3" i="1"/>
  <c r="DG3" i="1"/>
  <c r="DF3" i="1"/>
  <c r="DE3" i="1"/>
  <c r="DU4" i="1"/>
  <c r="DU3" i="1"/>
  <c r="BP4" i="1"/>
  <c r="CZ4" i="1"/>
  <c r="DD4" i="1"/>
  <c r="DC4" i="1"/>
  <c r="DA4" i="1"/>
  <c r="DB4" i="1"/>
  <c r="CX4" i="1"/>
  <c r="CV4" i="1"/>
  <c r="CW4" i="1"/>
  <c r="CU4" i="1"/>
  <c r="CY4" i="1"/>
  <c r="BP3" i="1"/>
  <c r="DD3" i="1"/>
  <c r="CZ3" i="1"/>
  <c r="DB3" i="1"/>
  <c r="DC3" i="1"/>
  <c r="DA3" i="1"/>
  <c r="CX3" i="1"/>
  <c r="CW3" i="1"/>
  <c r="CU3" i="1"/>
  <c r="CY3" i="1"/>
  <c r="CV3" i="1"/>
  <c r="F6" i="6"/>
  <c r="EB3" i="1"/>
  <c r="C85" i="13" s="1"/>
  <c r="BW3" i="1"/>
  <c r="DS3" i="1"/>
  <c r="CB3" i="1"/>
  <c r="BY3" i="1"/>
  <c r="EE3" i="1"/>
  <c r="BR3" i="1"/>
  <c r="CG3" i="1"/>
  <c r="DL3" i="1"/>
  <c r="DT3" i="1"/>
  <c r="BS3" i="1"/>
  <c r="CH3" i="1"/>
  <c r="DV3" i="1"/>
  <c r="BM3" i="1"/>
  <c r="EC3" i="1"/>
  <c r="BN3" i="1"/>
  <c r="DQ3" i="1"/>
  <c r="BZ3" i="1"/>
  <c r="C47" i="13" s="1"/>
  <c r="DY3" i="1"/>
  <c r="C68" i="13" s="1"/>
  <c r="BT3" i="1"/>
  <c r="BU3" i="1"/>
  <c r="C42" i="13" s="1"/>
  <c r="DP3" i="1"/>
  <c r="DW3" i="1"/>
  <c r="C66" i="13" s="1"/>
  <c r="CC3" i="1"/>
  <c r="EF3" i="1"/>
  <c r="DN3" i="1"/>
  <c r="DX3" i="1"/>
  <c r="ED3" i="1"/>
  <c r="CD3" i="1"/>
  <c r="DO3" i="1"/>
  <c r="DZ3" i="1"/>
  <c r="EA3" i="1"/>
  <c r="CE3" i="1"/>
  <c r="BO3" i="1"/>
  <c r="BV3" i="1"/>
  <c r="CF3" i="1"/>
  <c r="DR3" i="1"/>
  <c r="CA3" i="1"/>
  <c r="DM3" i="1"/>
  <c r="C78" i="13" s="1"/>
  <c r="DO4" i="1"/>
  <c r="BO4" i="1"/>
  <c r="CF4" i="1"/>
  <c r="DS4" i="1"/>
  <c r="EE4" i="1"/>
  <c r="DT4" i="1"/>
  <c r="CE4" i="1"/>
  <c r="BW4" i="1"/>
  <c r="EA4" i="1"/>
  <c r="DP4" i="1"/>
  <c r="CA4" i="1"/>
  <c r="DV4" i="1"/>
  <c r="CB4" i="1"/>
  <c r="DN4" i="1"/>
  <c r="DM4" i="1"/>
  <c r="CH4" i="1"/>
  <c r="DZ4" i="1"/>
  <c r="DY4" i="1"/>
  <c r="BY4" i="1"/>
  <c r="BN4" i="1"/>
  <c r="BM4" i="1"/>
  <c r="EF4" i="1"/>
  <c r="DL4" i="1"/>
  <c r="BV4" i="1"/>
  <c r="CD4" i="1"/>
  <c r="DX4" i="1"/>
  <c r="BT4" i="1"/>
  <c r="EC4" i="1"/>
  <c r="DR4" i="1"/>
  <c r="BS4" i="1"/>
  <c r="DQ4" i="1"/>
  <c r="BZ4" i="1"/>
  <c r="ED4" i="1"/>
  <c r="BR4" i="1"/>
  <c r="BU4" i="1"/>
  <c r="DW4" i="1"/>
  <c r="CG4" i="1"/>
  <c r="EB4" i="1"/>
  <c r="CC4" i="1"/>
  <c r="C45" i="13" l="1"/>
  <c r="C41" i="13"/>
  <c r="C65" i="13"/>
  <c r="C80" i="13"/>
  <c r="C62" i="13"/>
  <c r="C22" i="13"/>
  <c r="C24" i="13"/>
  <c r="C63" i="13"/>
  <c r="C19" i="13"/>
  <c r="C18" i="13"/>
  <c r="C86" i="13"/>
  <c r="C54" i="13"/>
  <c r="C67" i="13"/>
  <c r="C50" i="13"/>
  <c r="C81" i="13"/>
  <c r="C61" i="13"/>
  <c r="C64" i="13"/>
  <c r="C20" i="13"/>
  <c r="C21" i="13"/>
  <c r="C48" i="13"/>
  <c r="C84" i="13"/>
  <c r="C83" i="13"/>
  <c r="C40" i="13"/>
  <c r="C23" i="13"/>
  <c r="C27" i="13"/>
  <c r="C75" i="13"/>
  <c r="C51" i="13"/>
  <c r="C87" i="13"/>
  <c r="C77" i="13"/>
  <c r="C39" i="13"/>
  <c r="BQ4" i="1"/>
  <c r="C88" i="13"/>
  <c r="C79" i="13"/>
  <c r="C89" i="13"/>
  <c r="C46" i="13"/>
  <c r="C49" i="13"/>
  <c r="C44" i="13"/>
  <c r="C52" i="13"/>
  <c r="C60" i="13"/>
  <c r="C53" i="13"/>
  <c r="C43" i="13"/>
  <c r="C26" i="13"/>
  <c r="C55" i="13"/>
  <c r="C25" i="13"/>
  <c r="C73" i="13"/>
  <c r="C74" i="13"/>
  <c r="F101" i="12"/>
  <c r="BQ3" i="1"/>
  <c r="AB6" i="6"/>
  <c r="E98" i="13" s="1"/>
  <c r="AI6" i="6"/>
  <c r="F98" i="13" s="1"/>
  <c r="AH6" i="6"/>
  <c r="F99" i="13" s="1"/>
  <c r="AG6" i="6"/>
  <c r="F97" i="13" s="1"/>
  <c r="AF6" i="6"/>
  <c r="F96" i="13" s="1"/>
  <c r="AE6" i="6"/>
  <c r="F95" i="13" s="1"/>
  <c r="AD6" i="6"/>
  <c r="F94" i="13" s="1"/>
  <c r="AC6" i="6"/>
  <c r="F93" i="13" s="1"/>
  <c r="N6" i="6"/>
  <c r="C98" i="13" s="1"/>
  <c r="U6" i="6"/>
  <c r="D98" i="13" s="1"/>
  <c r="AA6" i="6"/>
  <c r="E99" i="13" s="1"/>
  <c r="K6" i="6"/>
  <c r="C96" i="13" s="1"/>
  <c r="O6" i="6"/>
  <c r="D93" i="13" s="1"/>
  <c r="R6" i="6"/>
  <c r="D96" i="13" s="1"/>
  <c r="M6" i="6"/>
  <c r="C99" i="13" s="1"/>
  <c r="X6" i="6"/>
  <c r="E95" i="13" s="1"/>
  <c r="Q6" i="6"/>
  <c r="D95" i="13" s="1"/>
  <c r="H6" i="6"/>
  <c r="C93" i="13" s="1"/>
  <c r="V6" i="6"/>
  <c r="E93" i="13" s="1"/>
  <c r="I6" i="6"/>
  <c r="C94" i="13" s="1"/>
  <c r="J6" i="6"/>
  <c r="C95" i="13" s="1"/>
  <c r="Y6" i="6"/>
  <c r="E96" i="13" s="1"/>
  <c r="W6" i="6"/>
  <c r="E94" i="13" s="1"/>
  <c r="T6" i="6"/>
  <c r="D99" i="13" s="1"/>
  <c r="L6" i="6"/>
  <c r="C97" i="13" s="1"/>
  <c r="S6" i="6"/>
  <c r="D97" i="13" s="1"/>
  <c r="Z6" i="6"/>
  <c r="E97" i="13" s="1"/>
  <c r="P6" i="6"/>
  <c r="D94" i="13" s="1"/>
  <c r="C14" i="13" l="1"/>
  <c r="F100" i="13"/>
  <c r="C4" i="1" a="1"/>
  <c r="C4" i="1" s="1"/>
  <c r="B4" i="1" a="1"/>
  <c r="B4" i="1" s="1"/>
  <c r="A4" i="1"/>
  <c r="D3" i="5" l="1"/>
  <c r="E3" i="5"/>
  <c r="J3" i="5" l="1"/>
  <c r="C32" i="12" s="1"/>
  <c r="M3" i="5"/>
  <c r="C35" i="12" s="1"/>
  <c r="C31" i="13"/>
  <c r="C34" i="13"/>
  <c r="L3" i="5"/>
  <c r="C34" i="12" s="1"/>
  <c r="K3" i="5"/>
  <c r="C33" i="12" s="1"/>
  <c r="C33" i="13"/>
  <c r="C32" i="13"/>
  <c r="C3" i="1" a="1"/>
  <c r="C3" i="1" s="1"/>
  <c r="B3" i="1" a="1"/>
  <c r="B3" i="1" s="1"/>
  <c r="C35" i="13" l="1"/>
  <c r="C36" i="12"/>
  <c r="E5" i="7"/>
  <c r="E3" i="10"/>
  <c r="D3" i="9"/>
  <c r="F3" i="9" s="1"/>
  <c r="E2" i="8"/>
  <c r="I2" i="8" s="1"/>
  <c r="G5" i="7"/>
  <c r="P5" i="7" s="1"/>
  <c r="H3" i="4"/>
  <c r="W3" i="3"/>
  <c r="AY3" i="3" s="1"/>
  <c r="BH4" i="1"/>
  <c r="D46" i="12" l="1"/>
  <c r="I3" i="10"/>
  <c r="D133" i="12" s="1"/>
  <c r="H3" i="10"/>
  <c r="C133" i="12" s="1"/>
  <c r="C109" i="12" a="1"/>
  <c r="C109" i="12" s="1"/>
  <c r="X3" i="4"/>
  <c r="D109" i="12" s="1"/>
  <c r="BE3" i="3"/>
  <c r="BM3" i="3"/>
  <c r="BL3" i="1" a="1"/>
  <c r="BL3" i="1" s="1"/>
  <c r="EK3" i="1" s="1"/>
  <c r="BL4" i="1" a="1"/>
  <c r="BL4" i="1" s="1"/>
  <c r="EK4" i="1" s="1"/>
  <c r="T5" i="7"/>
  <c r="H2" i="8"/>
  <c r="AD3" i="4"/>
  <c r="Y3" i="4"/>
  <c r="V3" i="4"/>
  <c r="Z3" i="4"/>
  <c r="W3" i="4"/>
  <c r="AA3" i="4"/>
  <c r="AB3" i="4"/>
  <c r="T3" i="4"/>
  <c r="AC3" i="4"/>
  <c r="U3" i="4"/>
  <c r="BH3" i="3"/>
  <c r="BF3" i="3"/>
  <c r="AX3" i="3"/>
  <c r="AZ3" i="3"/>
  <c r="BA3" i="3"/>
  <c r="BI3" i="3"/>
  <c r="AS3" i="3"/>
  <c r="BB3" i="3"/>
  <c r="BJ3" i="3"/>
  <c r="BC3" i="3"/>
  <c r="BD3" i="3"/>
  <c r="BL3" i="3"/>
  <c r="AW3" i="3"/>
  <c r="BG3" i="3"/>
  <c r="AT3" i="3"/>
  <c r="BK3" i="3"/>
  <c r="AU3" i="3"/>
  <c r="AV3" i="3"/>
  <c r="F11" i="12" l="1"/>
  <c r="C15" i="12"/>
  <c r="FY4" i="1"/>
  <c r="GE4" i="1"/>
  <c r="GC4" i="1"/>
  <c r="GD4" i="1"/>
  <c r="GB4" i="1"/>
  <c r="FZ4" i="1"/>
  <c r="GA4" i="1"/>
  <c r="FY3" i="1"/>
  <c r="GC3" i="1"/>
  <c r="GD3" i="1"/>
  <c r="GB3" i="1"/>
  <c r="GE3" i="1"/>
  <c r="GA3" i="1"/>
  <c r="FZ3" i="1"/>
  <c r="GO4" i="1"/>
  <c r="ER4" i="1"/>
  <c r="GO3" i="1"/>
  <c r="ER3" i="1"/>
  <c r="FS4" i="1"/>
  <c r="FR4" i="1"/>
  <c r="FP4" i="1"/>
  <c r="FO4" i="1"/>
  <c r="FU4" i="1"/>
  <c r="FQ4" i="1"/>
  <c r="FX4" i="1"/>
  <c r="FV4" i="1"/>
  <c r="FW4" i="1"/>
  <c r="FT4" i="1"/>
  <c r="FR3" i="1"/>
  <c r="FQ3" i="1"/>
  <c r="FW3" i="1"/>
  <c r="FU3" i="1"/>
  <c r="FT3" i="1"/>
  <c r="FP3" i="1"/>
  <c r="FO3" i="1"/>
  <c r="FX3" i="1"/>
  <c r="FS3" i="1"/>
  <c r="FV3" i="1"/>
  <c r="EJ4" i="1"/>
  <c r="EJ3" i="1"/>
  <c r="EQ4" i="1"/>
  <c r="ES4" i="1"/>
  <c r="EP4" i="1"/>
  <c r="GZ4" i="1"/>
  <c r="GI4" i="1"/>
  <c r="ET4" i="1"/>
  <c r="GX4" i="1"/>
  <c r="EH4" i="1"/>
  <c r="EU4" i="1"/>
  <c r="EW4" i="1"/>
  <c r="GW4" i="1"/>
  <c r="GV4" i="1"/>
  <c r="EM4" i="1"/>
  <c r="GT4" i="1"/>
  <c r="EI4" i="1"/>
  <c r="GG4" i="1"/>
  <c r="EY4" i="1"/>
  <c r="GU4" i="1"/>
  <c r="GJ4" i="1"/>
  <c r="EL4" i="1"/>
  <c r="GS4" i="1"/>
  <c r="GR4" i="1"/>
  <c r="FB4" i="1"/>
  <c r="EG4" i="1"/>
  <c r="FA4" i="1"/>
  <c r="GQ4" i="1"/>
  <c r="GP4" i="1"/>
  <c r="EZ4" i="1"/>
  <c r="GH4" i="1"/>
  <c r="GL4" i="1"/>
  <c r="GN4" i="1"/>
  <c r="GM4" i="1"/>
  <c r="EX4" i="1"/>
  <c r="EN4" i="1"/>
  <c r="GF4" i="1"/>
  <c r="GK4" i="1"/>
  <c r="EV4" i="1"/>
  <c r="GY4" i="1"/>
  <c r="EO4" i="1"/>
  <c r="GJ3" i="1"/>
  <c r="EU3" i="1"/>
  <c r="GV3" i="1"/>
  <c r="EO3" i="1"/>
  <c r="GY3" i="1"/>
  <c r="GH3" i="1"/>
  <c r="ES3" i="1"/>
  <c r="GT3" i="1"/>
  <c r="GM3" i="1"/>
  <c r="GW3" i="1"/>
  <c r="GF3" i="1"/>
  <c r="EP3" i="1"/>
  <c r="GR3" i="1"/>
  <c r="GU3" i="1"/>
  <c r="EN3" i="1"/>
  <c r="GP3" i="1"/>
  <c r="EV3" i="1"/>
  <c r="GS3" i="1"/>
  <c r="EL3" i="1"/>
  <c r="EQ3" i="1"/>
  <c r="EX3" i="1"/>
  <c r="GQ3" i="1"/>
  <c r="FA3" i="1"/>
  <c r="GK3" i="1"/>
  <c r="EZ3" i="1"/>
  <c r="GI3" i="1"/>
  <c r="ET3" i="1"/>
  <c r="EG3" i="1"/>
  <c r="GN3" i="1"/>
  <c r="EY3" i="1"/>
  <c r="GZ3" i="1"/>
  <c r="GG3" i="1"/>
  <c r="FB3" i="1"/>
  <c r="EI3" i="1"/>
  <c r="EH3" i="1"/>
  <c r="GL3" i="1"/>
  <c r="EW3" i="1"/>
  <c r="GX3" i="1"/>
  <c r="EM3" i="1"/>
  <c r="BJ4" i="1"/>
  <c r="C46" i="12" l="1"/>
  <c r="C20" i="12"/>
  <c r="C75" i="12"/>
  <c r="C74" i="12"/>
  <c r="C22" i="12"/>
  <c r="C25" i="12"/>
  <c r="C21" i="12"/>
  <c r="C24" i="12"/>
  <c r="C23" i="12"/>
  <c r="C65" i="12"/>
  <c r="C26" i="12"/>
  <c r="C28" i="12"/>
  <c r="C19" i="12"/>
  <c r="C27" i="12"/>
  <c r="FL4" i="1"/>
  <c r="FN4" i="1"/>
  <c r="FM4" i="1"/>
  <c r="BI4" i="1"/>
  <c r="BG4" i="1"/>
  <c r="V3" i="3"/>
  <c r="CT4" i="1" l="1"/>
  <c r="CR4" i="1"/>
  <c r="CS4" i="1"/>
  <c r="D45" i="13"/>
  <c r="F10" i="13"/>
  <c r="FC4" i="1"/>
  <c r="FK4" i="1" s="1"/>
  <c r="F5" i="7"/>
  <c r="C119" i="13" s="1"/>
  <c r="FG4" i="1" l="1"/>
  <c r="FD4" i="1"/>
  <c r="FF4" i="1"/>
  <c r="FI4" i="1"/>
  <c r="FJ4" i="1"/>
  <c r="FE4" i="1"/>
  <c r="FH4" i="1"/>
  <c r="CI4" i="1"/>
  <c r="CQ4" i="1" s="1"/>
  <c r="Q5" i="7"/>
  <c r="M5" i="7"/>
  <c r="I5" i="7" l="1"/>
  <c r="C118" i="13"/>
  <c r="N5" i="7"/>
  <c r="O5" i="7" s="1"/>
  <c r="E119" i="13" s="1"/>
  <c r="D119" i="13"/>
  <c r="CM4" i="1"/>
  <c r="R5" i="7"/>
  <c r="S5" i="7" s="1"/>
  <c r="CJ4" i="1"/>
  <c r="CL4" i="1"/>
  <c r="CK4" i="1"/>
  <c r="CO4" i="1"/>
  <c r="CN4" i="1"/>
  <c r="CP4" i="1"/>
  <c r="U5" i="7"/>
  <c r="J5" i="7" l="1"/>
  <c r="K5" i="7" s="1"/>
  <c r="E118" i="13" s="1"/>
  <c r="D118" i="13"/>
  <c r="V5" i="7"/>
  <c r="W5" i="7" s="1"/>
  <c r="D2" i="8"/>
  <c r="C124" i="13" s="1"/>
  <c r="C3" i="9"/>
  <c r="C128" i="13" s="1"/>
  <c r="D3" i="10"/>
  <c r="D41" i="13"/>
  <c r="A3" i="4"/>
  <c r="C132" i="13" l="1"/>
  <c r="D132" i="13"/>
  <c r="C114" i="12" a="1"/>
  <c r="C114" i="12" s="1"/>
  <c r="C108" i="12" a="1"/>
  <c r="C108" i="12" s="1"/>
  <c r="C106" i="12" a="1"/>
  <c r="C106" i="12" s="1"/>
  <c r="C115" i="12" a="1"/>
  <c r="C115" i="12" s="1"/>
  <c r="C107" i="12" a="1"/>
  <c r="C107" i="12" s="1"/>
  <c r="C110" i="12" a="1"/>
  <c r="C110" i="12" s="1"/>
  <c r="C112" i="12" a="1"/>
  <c r="C112" i="12" s="1"/>
  <c r="C111" i="12" a="1"/>
  <c r="C111" i="12" s="1"/>
  <c r="C113" i="12" a="1"/>
  <c r="C113" i="12" s="1"/>
  <c r="C105" i="12" a="1"/>
  <c r="C105" i="12" s="1"/>
  <c r="E10" i="13"/>
  <c r="D10" i="13"/>
  <c r="C10" i="13"/>
  <c r="D105" i="13"/>
  <c r="D114" i="13"/>
  <c r="D113" i="13"/>
  <c r="D112" i="13"/>
  <c r="D110" i="13"/>
  <c r="D111" i="13"/>
  <c r="D109" i="13"/>
  <c r="D107" i="13"/>
  <c r="D106" i="13"/>
  <c r="C123" i="13"/>
  <c r="D55" i="13"/>
  <c r="D54" i="13"/>
  <c r="D53" i="13"/>
  <c r="D52" i="13"/>
  <c r="D51" i="13"/>
  <c r="D50" i="13"/>
  <c r="D49" i="13"/>
  <c r="D48" i="13"/>
  <c r="D47" i="13"/>
  <c r="D46" i="13"/>
  <c r="D44" i="13"/>
  <c r="D43" i="13"/>
  <c r="D42" i="13"/>
  <c r="D40" i="13"/>
  <c r="D39" i="13"/>
  <c r="G10" i="13" l="1"/>
  <c r="C129" i="12"/>
  <c r="BC6" i="6" l="1"/>
  <c r="AY6" i="6"/>
  <c r="AK6" i="6"/>
  <c r="AM6" i="6"/>
  <c r="AZ6" i="6"/>
  <c r="AT6" i="6"/>
  <c r="AO6" i="6"/>
  <c r="AN6" i="6"/>
  <c r="AJ6" i="6"/>
  <c r="C100" i="13" s="1"/>
  <c r="AX6" i="6"/>
  <c r="AS6" i="6"/>
  <c r="AU6" i="6"/>
  <c r="AV6" i="6"/>
  <c r="BB6" i="6"/>
  <c r="BA6" i="6"/>
  <c r="AR6" i="6"/>
  <c r="AL6" i="6"/>
  <c r="AQ6" i="6"/>
  <c r="D100" i="13" s="1"/>
  <c r="C125" i="12"/>
  <c r="C124" i="12"/>
  <c r="E119" i="12"/>
  <c r="D119" i="12"/>
  <c r="C120" i="12"/>
  <c r="D113" i="12"/>
  <c r="C119" i="12"/>
  <c r="D115" i="12"/>
  <c r="D114" i="12"/>
  <c r="D112" i="12"/>
  <c r="D111" i="12"/>
  <c r="D110" i="12"/>
  <c r="D108" i="12"/>
  <c r="D107" i="12"/>
  <c r="D106" i="12"/>
  <c r="D105" i="12"/>
  <c r="D56" i="12"/>
  <c r="D55" i="12"/>
  <c r="D54" i="12"/>
  <c r="D53" i="12"/>
  <c r="D52" i="12"/>
  <c r="D51" i="12"/>
  <c r="D50" i="12"/>
  <c r="D49" i="12"/>
  <c r="D48" i="12"/>
  <c r="D47" i="12"/>
  <c r="D45" i="12"/>
  <c r="D44" i="12"/>
  <c r="D43" i="12"/>
  <c r="D42" i="12"/>
  <c r="D41" i="12"/>
  <c r="D40" i="12"/>
  <c r="E11" i="12"/>
  <c r="D11" i="12"/>
  <c r="C11" i="12"/>
  <c r="E100" i="13" l="1"/>
  <c r="G11" i="12"/>
  <c r="E120" i="12"/>
  <c r="D120" i="12"/>
  <c r="A6" i="6"/>
  <c r="D100" i="12" l="1"/>
  <c r="E100" i="12"/>
  <c r="E96" i="12"/>
  <c r="E98" i="12"/>
  <c r="E97" i="12"/>
  <c r="E95" i="12"/>
  <c r="E94" i="12"/>
  <c r="D98" i="12"/>
  <c r="D97" i="12"/>
  <c r="D96" i="12"/>
  <c r="D95" i="12"/>
  <c r="D94" i="12"/>
  <c r="C100" i="12"/>
  <c r="C98" i="12"/>
  <c r="C97" i="12"/>
  <c r="C96" i="12"/>
  <c r="C95" i="12"/>
  <c r="C94" i="12"/>
  <c r="D101" i="12" l="1"/>
  <c r="E101" i="12"/>
  <c r="C101" i="12"/>
  <c r="BH3" i="1" l="1"/>
  <c r="FL3" i="1" s="1"/>
  <c r="BG3" i="1"/>
  <c r="BJ3" i="1"/>
  <c r="BI3" i="1"/>
  <c r="CT3" i="1" l="1"/>
  <c r="CS3" i="1"/>
  <c r="CR3" i="1"/>
  <c r="FM3" i="1"/>
  <c r="FN3" i="1"/>
  <c r="C81" i="12"/>
  <c r="C89" i="12"/>
  <c r="C67" i="12"/>
  <c r="C88" i="12"/>
  <c r="C66" i="12"/>
  <c r="C78" i="12"/>
  <c r="C55" i="12"/>
  <c r="C85" i="12"/>
  <c r="C62" i="12"/>
  <c r="C61" i="12"/>
  <c r="C52" i="12"/>
  <c r="C43" i="12"/>
  <c r="C76" i="12" l="1"/>
  <c r="C64" i="12"/>
  <c r="C47" i="12"/>
  <c r="C51" i="12"/>
  <c r="C69" i="12"/>
  <c r="C40" i="12"/>
  <c r="C48" i="12"/>
  <c r="C50" i="12"/>
  <c r="C79" i="12"/>
  <c r="C72" i="12"/>
  <c r="C82" i="12"/>
  <c r="C80" i="12"/>
  <c r="C42" i="12"/>
  <c r="C53" i="12"/>
  <c r="C68" i="12"/>
  <c r="C56" i="12"/>
  <c r="C84" i="12"/>
  <c r="C41" i="12"/>
  <c r="C49" i="12"/>
  <c r="C44" i="12"/>
  <c r="FC3" i="1"/>
  <c r="FK3" i="1" s="1"/>
  <c r="F9" i="12" s="1"/>
  <c r="C45" i="12"/>
  <c r="C63" i="12"/>
  <c r="C54" i="12"/>
  <c r="C73" i="12"/>
  <c r="C86" i="12"/>
  <c r="C90" i="12"/>
  <c r="C71" i="12"/>
  <c r="CI3" i="1"/>
  <c r="CQ3" i="1" s="1"/>
  <c r="F8" i="13" s="1"/>
  <c r="C87" i="12"/>
  <c r="FG3" i="1" l="1"/>
  <c r="F8" i="12" s="1"/>
  <c r="F10" i="12" s="1"/>
  <c r="CM3" i="1"/>
  <c r="F7" i="13" s="1"/>
  <c r="F9" i="13" s="1"/>
  <c r="FE3" i="1"/>
  <c r="D8" i="12" s="1"/>
  <c r="FH3" i="1"/>
  <c r="C9" i="12" s="1"/>
  <c r="FF3" i="1"/>
  <c r="CJ3" i="1"/>
  <c r="C7" i="13" s="1"/>
  <c r="FJ3" i="1"/>
  <c r="FD3" i="1"/>
  <c r="FI3" i="1"/>
  <c r="CL3" i="1"/>
  <c r="E7" i="13" s="1"/>
  <c r="CN3" i="1"/>
  <c r="C8" i="13" s="1"/>
  <c r="CP3" i="1"/>
  <c r="E8" i="13" s="1"/>
  <c r="CK3" i="1"/>
  <c r="D7" i="13" s="1"/>
  <c r="CO3" i="1"/>
  <c r="E9" i="13" l="1"/>
  <c r="G7" i="13"/>
  <c r="C9" i="13"/>
  <c r="D8" i="13"/>
  <c r="G8" i="13" s="1"/>
  <c r="E8" i="12"/>
  <c r="E9" i="12"/>
  <c r="C8" i="12"/>
  <c r="D9" i="12"/>
  <c r="D9" i="13" l="1"/>
  <c r="G9" i="13" s="1"/>
  <c r="G9" i="12"/>
  <c r="E10" i="12"/>
  <c r="C10" i="12"/>
  <c r="G8" i="12"/>
  <c r="D10" i="12"/>
  <c r="G10" i="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<sst xmlns="http://schemas.openxmlformats.org/spreadsheetml/2006/main" count="755" uniqueCount="452">
  <si>
    <t>Name</t>
  </si>
  <si>
    <t>Presenting Victimization</t>
  </si>
  <si>
    <t>Sexual Assault</t>
  </si>
  <si>
    <t>Domestic Violence/Dating Violence</t>
  </si>
  <si>
    <t>Stalking</t>
  </si>
  <si>
    <t>Did not meet statutory requirements</t>
  </si>
  <si>
    <t>Conflict of interest</t>
  </si>
  <si>
    <t>Hours of operation</t>
  </si>
  <si>
    <t>Insufficient or lack of culturally appropriate services</t>
  </si>
  <si>
    <t>Insufficient or lack of language capacity (including sign language)</t>
  </si>
  <si>
    <t>Insufficient or lack of services for people with disabilities</t>
  </si>
  <si>
    <t>Lack of childcare</t>
  </si>
  <si>
    <t>Program reached capacity</t>
  </si>
  <si>
    <t>Program rules not acceptable to vicitm/survivor</t>
  </si>
  <si>
    <t>Program unable to provide service due to limited resources/priority-setting</t>
  </si>
  <si>
    <t>Services inappropriate or inadequate for vicitms/survivors with mental health issues</t>
  </si>
  <si>
    <t>Services inappropriate or inadequate for vicitms/survivors with substance abuse issues</t>
  </si>
  <si>
    <t>Services not appropriate for victim/survivor</t>
  </si>
  <si>
    <t>Services not available for victim/survivors accompanied by male adolescents</t>
  </si>
  <si>
    <t>Transportation</t>
  </si>
  <si>
    <t>Other</t>
  </si>
  <si>
    <t>Gender</t>
  </si>
  <si>
    <t>Female</t>
  </si>
  <si>
    <t>Male</t>
  </si>
  <si>
    <t>Transgender or gender nonconforming</t>
  </si>
  <si>
    <t>Unknown</t>
  </si>
  <si>
    <t>Age</t>
  </si>
  <si>
    <t>11 - 17 years</t>
  </si>
  <si>
    <t>18 - 24 years</t>
  </si>
  <si>
    <t>25 - 59 years</t>
  </si>
  <si>
    <t>60+ years</t>
  </si>
  <si>
    <t>Yes/No</t>
  </si>
  <si>
    <t>Yes</t>
  </si>
  <si>
    <t>No</t>
  </si>
  <si>
    <t>If Other, please specify</t>
  </si>
  <si>
    <t>Asian</t>
  </si>
  <si>
    <t>Black/African American</t>
  </si>
  <si>
    <t>White</t>
  </si>
  <si>
    <t>LGBTQ</t>
  </si>
  <si>
    <t>Live in rural area</t>
  </si>
  <si>
    <t>Victimization Type</t>
  </si>
  <si>
    <t>Current/former spouse or intimate partner</t>
  </si>
  <si>
    <t>Other family/household member</t>
  </si>
  <si>
    <t>Dating relationship</t>
  </si>
  <si>
    <t>Vicitm/Offender Relationship</t>
  </si>
  <si>
    <t>Acquaintance</t>
  </si>
  <si>
    <t>Stranger</t>
  </si>
  <si>
    <t>Victim/Survivor's Relationship to Offender</t>
  </si>
  <si>
    <t>Date of Service</t>
  </si>
  <si>
    <t>Service Received</t>
  </si>
  <si>
    <t>Services</t>
  </si>
  <si>
    <t>Civil legal advocacy/court accompaniment</t>
  </si>
  <si>
    <t>Counseling/support group</t>
  </si>
  <si>
    <t>Criminal justice advocacy/court accompaniment</t>
  </si>
  <si>
    <t>Crisis intervention</t>
  </si>
  <si>
    <t>Forensic exam</t>
  </si>
  <si>
    <t>Hospital/clinic/other medical response</t>
  </si>
  <si>
    <t>Language services</t>
  </si>
  <si>
    <t>Victim/survivor advocacy</t>
  </si>
  <si>
    <t>Number of accompanying family members</t>
  </si>
  <si>
    <t>Number of nights</t>
  </si>
  <si>
    <t>Date</t>
  </si>
  <si>
    <t>Protection Order Type</t>
  </si>
  <si>
    <t>Temporary</t>
  </si>
  <si>
    <t>Final</t>
  </si>
  <si>
    <t>American Indian/ Alaska Native</t>
  </si>
  <si>
    <t>Hispanic/Latino/ Spanish Origin</t>
  </si>
  <si>
    <t>Native Hawaiian/ Other Pacific Islander</t>
  </si>
  <si>
    <t>Other race/ ethnicity/origin</t>
  </si>
  <si>
    <t>Immigrant/refugee/ asylum seeker</t>
  </si>
  <si>
    <t>Domestic violence/ dating violence</t>
  </si>
  <si>
    <t>Unknown race/ethnicity</t>
  </si>
  <si>
    <t>Client #</t>
  </si>
  <si>
    <t>Has disability</t>
  </si>
  <si>
    <t>Type of Shelter</t>
  </si>
  <si>
    <t>Shelter Type</t>
  </si>
  <si>
    <t>Emergency Shelter</t>
  </si>
  <si>
    <t>Transitional Housing</t>
  </si>
  <si>
    <t>A. Served</t>
  </si>
  <si>
    <t>B. Partially Served</t>
  </si>
  <si>
    <t>A. + B. Total Served and Partially Served</t>
  </si>
  <si>
    <t>C. Victims seeking services who were not served</t>
  </si>
  <si>
    <t>Sexual assault</t>
  </si>
  <si>
    <t>Domestic violence/dating violence</t>
  </si>
  <si>
    <t>TOTAL</t>
  </si>
  <si>
    <t>Partially served</t>
  </si>
  <si>
    <t>Not served</t>
  </si>
  <si>
    <t>American Indian/Alaska Native</t>
  </si>
  <si>
    <t>Hispanic, Latino, or Spanish origin</t>
  </si>
  <si>
    <t>Native Hawaiian or Other Pacific Islander</t>
  </si>
  <si>
    <t>Other race, ethnicity or origin</t>
  </si>
  <si>
    <t>LGBTQ individuals</t>
  </si>
  <si>
    <t>People with disabilities</t>
  </si>
  <si>
    <t>Immigrants/refugees/asylum seekers</t>
  </si>
  <si>
    <t>Live in rural areas</t>
  </si>
  <si>
    <t>Number of victims/survivors served</t>
  </si>
  <si>
    <t>Number of times service was provided</t>
  </si>
  <si>
    <t>Number of victims/survivors</t>
  </si>
  <si>
    <t>Number of family members</t>
  </si>
  <si>
    <t>Number of bed nights</t>
  </si>
  <si>
    <t>Emergency shelter</t>
  </si>
  <si>
    <t>Transitional housing</t>
  </si>
  <si>
    <t>Number of requests from primary victims</t>
  </si>
  <si>
    <t>Total number of requests</t>
  </si>
  <si>
    <t>Number of notification/outreach activities to victims</t>
  </si>
  <si>
    <t>Temporary Orders</t>
  </si>
  <si>
    <t>Final Orders</t>
  </si>
  <si>
    <t>Number</t>
  </si>
  <si>
    <t>CountFlag</t>
  </si>
  <si>
    <t>Year</t>
  </si>
  <si>
    <t>SAFlag</t>
  </si>
  <si>
    <t>DVFlag</t>
  </si>
  <si>
    <t>STFlag</t>
  </si>
  <si>
    <t>ConflictCount</t>
  </si>
  <si>
    <t>StatuteCount</t>
  </si>
  <si>
    <t>HoursCount</t>
  </si>
  <si>
    <t>CulturalCount</t>
  </si>
  <si>
    <t>LanguageCount</t>
  </si>
  <si>
    <t>DisabilitiesCount</t>
  </si>
  <si>
    <t>ChildcareCount</t>
  </si>
  <si>
    <t>CapacityCount</t>
  </si>
  <si>
    <t>RulesCount</t>
  </si>
  <si>
    <t>ResourcesCount</t>
  </si>
  <si>
    <t>MHCount</t>
  </si>
  <si>
    <t>SACount</t>
  </si>
  <si>
    <t>NACount</t>
  </si>
  <si>
    <t>MaleCount</t>
  </si>
  <si>
    <t>TransportationCount</t>
  </si>
  <si>
    <t>OtherCount</t>
  </si>
  <si>
    <r>
      <rPr>
        <b/>
        <sz val="12"/>
        <rFont val="Calibri"/>
        <family val="2"/>
      </rPr>
      <t xml:space="preserve">Reason Not Served </t>
    </r>
    <r>
      <rPr>
        <b/>
        <sz val="10"/>
        <rFont val="Calibri"/>
        <family val="2"/>
      </rPr>
      <t>(enter "Yes" for all that apply)</t>
    </r>
  </si>
  <si>
    <t>PrimaryCount</t>
  </si>
  <si>
    <t>AllCount</t>
  </si>
  <si>
    <t>ESCountVictim</t>
  </si>
  <si>
    <t>ESTotalVictims</t>
  </si>
  <si>
    <t>ESTotalNights</t>
  </si>
  <si>
    <t>THCountVictims</t>
  </si>
  <si>
    <t>THTotalVicitms</t>
  </si>
  <si>
    <t>THTotalNights</t>
  </si>
  <si>
    <t>ESCountFamily</t>
  </si>
  <si>
    <t>THCountFamily</t>
  </si>
  <si>
    <t>First Date of Service</t>
  </si>
  <si>
    <t>Last Date of Service</t>
  </si>
  <si>
    <r>
      <t xml:space="preserve">Race/Ethnicity </t>
    </r>
    <r>
      <rPr>
        <b/>
        <sz val="10"/>
        <color theme="0"/>
        <rFont val="Calibri Light"/>
        <family val="2"/>
        <scheme val="minor"/>
      </rPr>
      <t>(enter "Yes" for all that apply)</t>
    </r>
  </si>
  <si>
    <r>
      <t xml:space="preserve">Other Demographics </t>
    </r>
    <r>
      <rPr>
        <b/>
        <sz val="10"/>
        <color theme="0"/>
        <rFont val="Calibri Light"/>
        <family val="2"/>
        <scheme val="minor"/>
      </rPr>
      <t>(enter "Yes" for all that apply)</t>
    </r>
  </si>
  <si>
    <r>
      <rPr>
        <b/>
        <sz val="12"/>
        <color theme="0"/>
        <rFont val="Calibri Light"/>
        <family val="2"/>
        <scheme val="minor"/>
      </rPr>
      <t>Additional Victimizations</t>
    </r>
    <r>
      <rPr>
        <b/>
        <sz val="11"/>
        <color theme="0"/>
        <rFont val="Calibri Light"/>
        <family val="2"/>
        <scheme val="minor"/>
      </rPr>
      <t xml:space="preserve"> </t>
    </r>
    <r>
      <rPr>
        <b/>
        <sz val="10"/>
        <color theme="0"/>
        <rFont val="Calibri Light"/>
        <family val="2"/>
        <scheme val="minor"/>
      </rPr>
      <t>(enter "Yes" for all that apply)</t>
    </r>
  </si>
  <si>
    <r>
      <t xml:space="preserve">If Partially Served, Reason </t>
    </r>
    <r>
      <rPr>
        <b/>
        <sz val="10"/>
        <color theme="0"/>
        <rFont val="Calibri Light"/>
        <family val="2"/>
        <scheme val="minor"/>
      </rPr>
      <t>(enter "Yes" for all that apply)</t>
    </r>
  </si>
  <si>
    <t>CountCivil</t>
  </si>
  <si>
    <t>CountCounseling</t>
  </si>
  <si>
    <t>CountCriminal</t>
  </si>
  <si>
    <t>CountForensic</t>
  </si>
  <si>
    <t>CountHospital</t>
  </si>
  <si>
    <t>CountLanguage</t>
  </si>
  <si>
    <t>CountTransportation</t>
  </si>
  <si>
    <t>CountAdvocacy</t>
  </si>
  <si>
    <t>CountOther</t>
  </si>
  <si>
    <t>CountCrisis</t>
  </si>
  <si>
    <t>CountSASpouse</t>
  </si>
  <si>
    <t>CountSAFamily</t>
  </si>
  <si>
    <t>CountSADating</t>
  </si>
  <si>
    <t>CountSAAcquaintance</t>
  </si>
  <si>
    <t>CountSAStranger</t>
  </si>
  <si>
    <t>CountSAUnknown</t>
  </si>
  <si>
    <t>CountDVSpouse</t>
  </si>
  <si>
    <t>CountDVFamily</t>
  </si>
  <si>
    <t>CountDVDating</t>
  </si>
  <si>
    <t>CountDVAcquaintance</t>
  </si>
  <si>
    <t>CountDVStranger</t>
  </si>
  <si>
    <t>CountDVUnknown</t>
  </si>
  <si>
    <t>CountSTSpouse</t>
  </si>
  <si>
    <t>CountSTFamily</t>
  </si>
  <si>
    <t>CountSTDating</t>
  </si>
  <si>
    <t>CountSTAcquaintance</t>
  </si>
  <si>
    <t>CountSTStranger</t>
  </si>
  <si>
    <t>CountSTUnknown</t>
  </si>
  <si>
    <t>YearFirst</t>
  </si>
  <si>
    <t>YearLast</t>
  </si>
  <si>
    <t>CountPrimarySA</t>
  </si>
  <si>
    <t>CountPrimaryDV</t>
  </si>
  <si>
    <t>CountPrimaryST</t>
  </si>
  <si>
    <t>CountSA</t>
  </si>
  <si>
    <t>CountDV</t>
  </si>
  <si>
    <t>CountST</t>
  </si>
  <si>
    <t>PartialSA</t>
  </si>
  <si>
    <t>PartialDV</t>
  </si>
  <si>
    <t>PartialST</t>
  </si>
  <si>
    <t>PartialCount</t>
  </si>
  <si>
    <t>NewSA</t>
  </si>
  <si>
    <t>NewDV</t>
  </si>
  <si>
    <t>NewST</t>
  </si>
  <si>
    <t>ServedSA</t>
  </si>
  <si>
    <t>ServedDV</t>
  </si>
  <si>
    <t>ServedST</t>
  </si>
  <si>
    <t>AIAN</t>
  </si>
  <si>
    <t>UnknownGender</t>
  </si>
  <si>
    <t>Transgender</t>
  </si>
  <si>
    <t>Age1</t>
  </si>
  <si>
    <t>Age2</t>
  </si>
  <si>
    <t>Age3</t>
  </si>
  <si>
    <t>Age4</t>
  </si>
  <si>
    <t>UnknownAge</t>
  </si>
  <si>
    <t>Asian2</t>
  </si>
  <si>
    <t>Black</t>
  </si>
  <si>
    <t>Hispanic</t>
  </si>
  <si>
    <t>PI</t>
  </si>
  <si>
    <t>OtherRace</t>
  </si>
  <si>
    <t>UnknownRace</t>
  </si>
  <si>
    <t>White2</t>
  </si>
  <si>
    <t>LGBTQ2</t>
  </si>
  <si>
    <t>Disabled</t>
  </si>
  <si>
    <t>LEP</t>
  </si>
  <si>
    <t>Deaf</t>
  </si>
  <si>
    <t>Immigrant</t>
  </si>
  <si>
    <t>Correction</t>
  </si>
  <si>
    <t>Rural</t>
  </si>
  <si>
    <t>Qlast</t>
  </si>
  <si>
    <t>QFirst</t>
  </si>
  <si>
    <t>CountPrimarySAq</t>
  </si>
  <si>
    <t>CountPrimaryDVq</t>
  </si>
  <si>
    <t>CountPrimarySTq</t>
  </si>
  <si>
    <t>ConflictCountq</t>
  </si>
  <si>
    <t>StatuteCountq</t>
  </si>
  <si>
    <t>HoursCountq</t>
  </si>
  <si>
    <t>CulturalCountq</t>
  </si>
  <si>
    <t>LanguageCountq</t>
  </si>
  <si>
    <t>DisabilitiesCountq</t>
  </si>
  <si>
    <t>ChildcareCountq</t>
  </si>
  <si>
    <t>CapacityCountq</t>
  </si>
  <si>
    <t>RulesCountq</t>
  </si>
  <si>
    <t>ResourcesCountq</t>
  </si>
  <si>
    <t>MHCountq</t>
  </si>
  <si>
    <t>SACountq</t>
  </si>
  <si>
    <t>NACountq</t>
  </si>
  <si>
    <t>MaleCountq</t>
  </si>
  <si>
    <t>TransportationCountq</t>
  </si>
  <si>
    <t>OtherCountq</t>
  </si>
  <si>
    <t>PartialCountq</t>
  </si>
  <si>
    <t>ServedSAq</t>
  </si>
  <si>
    <t>ServedDVq</t>
  </si>
  <si>
    <t>ServedSTq</t>
  </si>
  <si>
    <t>PartialSAq</t>
  </si>
  <si>
    <t>PartialDVq</t>
  </si>
  <si>
    <t>PartialSTq</t>
  </si>
  <si>
    <t>NewSAq</t>
  </si>
  <si>
    <t>NewDVq</t>
  </si>
  <si>
    <t>NewSTq</t>
  </si>
  <si>
    <t>Femaleq</t>
  </si>
  <si>
    <t>Maleq</t>
  </si>
  <si>
    <t>Transgenderq</t>
  </si>
  <si>
    <t>UnknownGenderq</t>
  </si>
  <si>
    <t>Age1q</t>
  </si>
  <si>
    <t>Age2q</t>
  </si>
  <si>
    <t>Age3q</t>
  </si>
  <si>
    <t>Age4q</t>
  </si>
  <si>
    <t>UnknownAgeq</t>
  </si>
  <si>
    <t>AIANq</t>
  </si>
  <si>
    <t>Asian2q</t>
  </si>
  <si>
    <t>Blackq</t>
  </si>
  <si>
    <t>Hispanicq</t>
  </si>
  <si>
    <t>Piq</t>
  </si>
  <si>
    <t>White2q</t>
  </si>
  <si>
    <t>OtherRaceq</t>
  </si>
  <si>
    <t>UnknownRaceq</t>
  </si>
  <si>
    <t>LGBTQ2q</t>
  </si>
  <si>
    <t>Disabledq</t>
  </si>
  <si>
    <t>LEPq</t>
  </si>
  <si>
    <t>Deafq</t>
  </si>
  <si>
    <t>Immigrantq</t>
  </si>
  <si>
    <t>Correctionq</t>
  </si>
  <si>
    <t>Ruralq</t>
  </si>
  <si>
    <t>Quarter</t>
  </si>
  <si>
    <t>CountSASpouseq</t>
  </si>
  <si>
    <t>CountSAFamilyq</t>
  </si>
  <si>
    <t>CountSADatingq</t>
  </si>
  <si>
    <t>CountSAAcquaintanceq</t>
  </si>
  <si>
    <t>CountSAStrangerq</t>
  </si>
  <si>
    <t>CountSAUnknownq</t>
  </si>
  <si>
    <t>CountDVSpouseq</t>
  </si>
  <si>
    <t>CountDVFamilyq</t>
  </si>
  <si>
    <t>CountDVDatingq</t>
  </si>
  <si>
    <t>CountDVAcquaintanceq</t>
  </si>
  <si>
    <t>CountDVStrangerq</t>
  </si>
  <si>
    <t>CountDVUnknownq</t>
  </si>
  <si>
    <t>CountSTSpouseq</t>
  </si>
  <si>
    <t>CountSTFamilyq</t>
  </si>
  <si>
    <t>CountSTDatingq</t>
  </si>
  <si>
    <t>CountSTAcquaintanceq</t>
  </si>
  <si>
    <t>CountSTStrangerq</t>
  </si>
  <si>
    <t>CountSTUnknownq</t>
  </si>
  <si>
    <t>CountCivilq</t>
  </si>
  <si>
    <t>CountCounselingq</t>
  </si>
  <si>
    <t>CountCriminalq</t>
  </si>
  <si>
    <t>CountCrisisq</t>
  </si>
  <si>
    <t>CountForensicq</t>
  </si>
  <si>
    <t>CountHospitalq</t>
  </si>
  <si>
    <t>CountLanguageq</t>
  </si>
  <si>
    <t>CountTransportationq</t>
  </si>
  <si>
    <t>CountAdvocacyq</t>
  </si>
  <si>
    <t>CountOtherq</t>
  </si>
  <si>
    <t>ESCountVictimq</t>
  </si>
  <si>
    <t>ESCountFamilyq</t>
  </si>
  <si>
    <t>ESTotalVictimsq</t>
  </si>
  <si>
    <t>ESTotalNightsq</t>
  </si>
  <si>
    <t>THCountVictimsq</t>
  </si>
  <si>
    <t>THCountFamilyq</t>
  </si>
  <si>
    <t>THTotalVicitmsq</t>
  </si>
  <si>
    <t>THTotalNightsq</t>
  </si>
  <si>
    <t>AllCountq</t>
  </si>
  <si>
    <t>PrimaryCountq</t>
  </si>
  <si>
    <t>CountFlagq</t>
  </si>
  <si>
    <t>CountSAq</t>
  </si>
  <si>
    <t>CountDVq</t>
  </si>
  <si>
    <t>CountSTq</t>
  </si>
  <si>
    <t>SAFlagq</t>
  </si>
  <si>
    <t>DVFlagq</t>
  </si>
  <si>
    <t>STFlagq</t>
  </si>
  <si>
    <t>Case #</t>
  </si>
  <si>
    <t>*Primary Victims/Survivors</t>
  </si>
  <si>
    <t>*Primary and Secondary Victims</t>
  </si>
  <si>
    <r>
      <t xml:space="preserve">Was Caller a Primary Victim? </t>
    </r>
    <r>
      <rPr>
        <sz val="10"/>
        <rFont val="Calibri Light"/>
        <family val="2"/>
        <scheme val="minor"/>
      </rPr>
      <t>(select "Yes" or "No")</t>
    </r>
  </si>
  <si>
    <t xml:space="preserve">Victims who recieve unsolicited letters, phone calls, or visits to victims/survivors identified in police reports or court documents, informing them of services and/or providing information about the criminal justice system. Victims/survivors. This does not include instances where victims receive services such as criminal justice advocacy over the telephone. </t>
  </si>
  <si>
    <t>Name (if known)</t>
  </si>
  <si>
    <t>Quarter Start Date:</t>
  </si>
  <si>
    <t>Quarter End Date:</t>
  </si>
  <si>
    <t>Date Requested</t>
  </si>
  <si>
    <t>Calendar Year:</t>
  </si>
  <si>
    <t>*Dates must be entered in "mm/dd/yyyy" format.*</t>
  </si>
  <si>
    <t>*Year must be entered in "yyyy" format.*</t>
  </si>
  <si>
    <t>*Secondary Victims Only</t>
  </si>
  <si>
    <t>NOTE: Log each night of shelter provided in its own row.</t>
  </si>
  <si>
    <t>EXAMPLE: A victim/survivor and her two kids were in emergency shelter for three days (3/17/2022 to 3/19/2022). Three rows should be entered for this family. All three will have the primary victim/survivor's name under Name, Type of Shelter = Emergency Shelter, and Number of Accompanying Family Members = 2 (to indicate the two kids). The date on the first row will be 3/17/2022, on the second row 3/18/2022, and on the third row 3/19/2022.</t>
  </si>
  <si>
    <r>
      <rPr>
        <b/>
        <sz val="11"/>
        <color theme="1"/>
        <rFont val="Calibri Light"/>
        <family val="2"/>
        <scheme val="minor"/>
      </rPr>
      <t>NOTE:</t>
    </r>
    <r>
      <rPr>
        <sz val="11"/>
        <color theme="1"/>
        <rFont val="Calibri Light"/>
        <family val="2"/>
        <scheme val="minor"/>
      </rPr>
      <t xml:space="preserve"> To avoid error messages on the data summary sheets, DO NOT leave blank rows in the table (the shaded rows below). When adding new clients, only expand the table the same number of rows as the number of clients being added.</t>
    </r>
  </si>
  <si>
    <r>
      <rPr>
        <b/>
        <sz val="11"/>
        <color theme="1"/>
        <rFont val="Calibri Light"/>
        <family val="2"/>
        <scheme val="minor"/>
      </rPr>
      <t>NOTE:</t>
    </r>
    <r>
      <rPr>
        <sz val="11"/>
        <color theme="1"/>
        <rFont val="Calibri Light"/>
        <family val="2"/>
        <scheme val="minor"/>
      </rPr>
      <t xml:space="preserve"> Each combination of victim/offender relationship should be logged in its own row.</t>
    </r>
  </si>
  <si>
    <r>
      <rPr>
        <i/>
        <sz val="11"/>
        <color theme="1"/>
        <rFont val="Calibri Light"/>
        <family val="2"/>
        <scheme val="minor"/>
      </rPr>
      <t>EXAMPLE</t>
    </r>
    <r>
      <rPr>
        <sz val="11"/>
        <color theme="1"/>
        <rFont val="Calibri Light"/>
        <family val="2"/>
        <scheme val="minor"/>
      </rPr>
      <t>: A victim/survivor was sexually assaulted by two offenders (their boyfriend and one friend). One row should be logged with Victimization Type = Sexual Assault and Victim's Relationship to Offender = Dating Relationship. A second row for the same victim/survivor should be logged as Victimization Type = Sexual Assault and Victim's Relationship to Offender = Acquaintance.</t>
    </r>
  </si>
  <si>
    <t>YearFlag</t>
  </si>
  <si>
    <t>Qflag</t>
  </si>
  <si>
    <t>Female Genital Mutilation/Cutting</t>
  </si>
  <si>
    <t>CountPrimaryFGM</t>
  </si>
  <si>
    <t>ServedFGM</t>
  </si>
  <si>
    <t>CountPrimaryFGMq</t>
  </si>
  <si>
    <t>ServedFGMq</t>
  </si>
  <si>
    <t>PartialFGM</t>
  </si>
  <si>
    <t>PartialFGMq</t>
  </si>
  <si>
    <t>CountFGMq</t>
  </si>
  <si>
    <t>2. Number of primary victims/survivors served, partially served, and not served</t>
  </si>
  <si>
    <t>3. Number of victims/survivors served for multiple victimizations</t>
  </si>
  <si>
    <t>Adult Survivor of Child Sexual Abuse</t>
  </si>
  <si>
    <t>Sex Trafficking</t>
  </si>
  <si>
    <t>Labor Trafficking</t>
  </si>
  <si>
    <t>Economic Abuse</t>
  </si>
  <si>
    <t>Technological Abuse</t>
  </si>
  <si>
    <t>Forced Marriage</t>
  </si>
  <si>
    <t>4. Additional victimization types, including specific forms of abuse, for which primary victims/survivors received STOP Program-funded services</t>
  </si>
  <si>
    <t>Female genital mutilation/cutting</t>
  </si>
  <si>
    <t>Adult survivor of child sexual abuse</t>
  </si>
  <si>
    <t>Sex trafficking</t>
  </si>
  <si>
    <t>Labor trafficking</t>
  </si>
  <si>
    <t>AddSA</t>
  </si>
  <si>
    <t>AddDV</t>
  </si>
  <si>
    <t>AddStalk</t>
  </si>
  <si>
    <t>AddFGM</t>
  </si>
  <si>
    <t>AddCSA</t>
  </si>
  <si>
    <t>AddSexT</t>
  </si>
  <si>
    <t>AddLaborT</t>
  </si>
  <si>
    <t>AddEcon</t>
  </si>
  <si>
    <t>AddTech</t>
  </si>
  <si>
    <t>AddSAq</t>
  </si>
  <si>
    <t>AddDVq</t>
  </si>
  <si>
    <t>AddStalkq</t>
  </si>
  <si>
    <t>AddFGMq</t>
  </si>
  <si>
    <t>AddSexTq</t>
  </si>
  <si>
    <t>AddCSAq</t>
  </si>
  <si>
    <t>AddLaborTq</t>
  </si>
  <si>
    <t>AddEconq</t>
  </si>
  <si>
    <t>AddTechq</t>
  </si>
  <si>
    <t>AddFMq</t>
  </si>
  <si>
    <t>Served/Partially Served</t>
  </si>
  <si>
    <t>6. Number of secondary victims served</t>
  </si>
  <si>
    <t>FGMFlag</t>
  </si>
  <si>
    <t>FGMFlagq</t>
  </si>
  <si>
    <t>7. Reasons that primary victims/survivors seeking services were not served or were partially served</t>
  </si>
  <si>
    <t>Middle Eastern or North African</t>
  </si>
  <si>
    <t>MENA</t>
  </si>
  <si>
    <t>MENAq</t>
  </si>
  <si>
    <t>Insufficient or lack of agency capacity to provide language access (including sign language or assistive communication devices)</t>
  </si>
  <si>
    <t>Insufficient or lack of services for people who are D/deaf or hard of hearing</t>
  </si>
  <si>
    <t>DeafCount</t>
  </si>
  <si>
    <t>DeafCountq</t>
  </si>
  <si>
    <t>Two-spirit</t>
  </si>
  <si>
    <t>9 - 12. Demographics of primary victims/survivors served or partially served</t>
  </si>
  <si>
    <t>9. Race/ethnicity</t>
  </si>
  <si>
    <t>10. Gender</t>
  </si>
  <si>
    <t>11. Age</t>
  </si>
  <si>
    <t>12. Other demographics</t>
  </si>
  <si>
    <t>People whose primary language is not English</t>
  </si>
  <si>
    <t>D/deaf or hard of hearing</t>
  </si>
  <si>
    <t>People who are/were incarcerated (including probation/parole)</t>
  </si>
  <si>
    <t>Primary language not English</t>
  </si>
  <si>
    <t>Are/were incarcerated</t>
  </si>
  <si>
    <t>NonBinary</t>
  </si>
  <si>
    <t>TwoSpirit</t>
  </si>
  <si>
    <t>OtherGender</t>
  </si>
  <si>
    <t>NonBinaryq</t>
  </si>
  <si>
    <t>TwoSpiritq</t>
  </si>
  <si>
    <t>OtherGenderq</t>
  </si>
  <si>
    <t>Female2</t>
  </si>
  <si>
    <t>Male2</t>
  </si>
  <si>
    <t>Transgender2</t>
  </si>
  <si>
    <t>Non-Binary/Non-Conforming</t>
  </si>
  <si>
    <t>Two-Spirit</t>
  </si>
  <si>
    <t>Other Gender</t>
  </si>
  <si>
    <t>Unknown Gender</t>
  </si>
  <si>
    <r>
      <t xml:space="preserve">Gender </t>
    </r>
    <r>
      <rPr>
        <b/>
        <sz val="10"/>
        <color theme="0"/>
        <rFont val="Calibri Light"/>
        <family val="2"/>
        <scheme val="minor"/>
      </rPr>
      <t>(enter "Yes" for all that apply)</t>
    </r>
  </si>
  <si>
    <t>CountSAOther</t>
  </si>
  <si>
    <t>CountDVOther</t>
  </si>
  <si>
    <t>CountSTOther</t>
  </si>
  <si>
    <t>CountSAOtherq</t>
  </si>
  <si>
    <t>CountDVOtherq</t>
  </si>
  <si>
    <t>CountSTOtherq</t>
  </si>
  <si>
    <t>CountFGMFamily</t>
  </si>
  <si>
    <t>CountFGMDating</t>
  </si>
  <si>
    <t>CountFGMAcquaintance</t>
  </si>
  <si>
    <t>CountFGMStranger</t>
  </si>
  <si>
    <t>CountFGMUnknown</t>
  </si>
  <si>
    <t>CountFGMOther</t>
  </si>
  <si>
    <t>CountFGMSpouse</t>
  </si>
  <si>
    <t>CountFGMSpouseq</t>
  </si>
  <si>
    <t>CountFGMFamilyq</t>
  </si>
  <si>
    <t>CountFGMDatingq</t>
  </si>
  <si>
    <t>CountFGMAcquaintanceq</t>
  </si>
  <si>
    <t>CountFGMStrangerq</t>
  </si>
  <si>
    <t>CountFGMUnknownq</t>
  </si>
  <si>
    <t>CountFGMOtherq</t>
  </si>
  <si>
    <t>13. Victims/survivors' relationships to offender</t>
  </si>
  <si>
    <t>Culturally specific services</t>
  </si>
  <si>
    <t>CountCultural</t>
  </si>
  <si>
    <t>CountCulturalq</t>
  </si>
  <si>
    <t>14. Victim Services</t>
  </si>
  <si>
    <t>15. Shelter Services</t>
  </si>
  <si>
    <t>16. Hotline support, information, and referral requests</t>
  </si>
  <si>
    <t>17. Victim witness notification/unsolicited outreach activities to victims</t>
  </si>
  <si>
    <t>18. Protection orders</t>
  </si>
  <si>
    <t>CountSecondary</t>
  </si>
  <si>
    <t>CountSecondaryq</t>
  </si>
  <si>
    <t>Quarterly SAPR Data: Victim Services</t>
  </si>
  <si>
    <t>TPOGrant</t>
  </si>
  <si>
    <t>FPOGrant</t>
  </si>
  <si>
    <t>TPOGrantq</t>
  </si>
  <si>
    <t>FPOGrantq</t>
  </si>
  <si>
    <t>Annual SAPR Data: Victim Services</t>
  </si>
  <si>
    <t>CountFGM</t>
  </si>
  <si>
    <t>AddFM</t>
  </si>
  <si>
    <t>List victims if STOP Program-funded victim services staff (not paralegals/attorneys) provided assistance to victims/survivors in obtaining protection orders AND the order was granted.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</si>
</sst>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Light"/>
      <family val="2"/>
      <scheme val="minor"/>
    </font>
    <font>
      <b/>
      <sz val="11"/>
      <color theme="1"/>
      <name val="Calibri Light"/>
      <family val="2"/>
      <scheme val="minor"/>
    </font>
    <font>
      <b/>
      <sz val="11"/>
      <color theme="0"/>
      <name val="Calibri Light"/>
      <family val="2"/>
      <scheme val="minor"/>
    </font>
    <font>
      <sz val="11"/>
      <color theme="0"/>
      <name val="Calibri Light"/>
      <family val="2"/>
      <scheme val="minor"/>
    </font>
    <font>
      <b/>
      <sz val="12"/>
      <color theme="0"/>
      <name val="Calibri Light"/>
      <family val="2"/>
      <scheme val="minor"/>
    </font>
    <font>
      <sz val="11"/>
      <name val="Calibri Light"/>
      <family val="2"/>
      <scheme val="minor"/>
    </font>
    <font>
      <b/>
      <sz val="10"/>
      <color theme="0"/>
      <name val="Calibri Light"/>
      <family val="2"/>
      <scheme val="minor"/>
    </font>
    <font>
      <sz val="10"/>
      <name val="Calibri Light"/>
      <family val="2"/>
      <scheme val="minor"/>
    </font>
    <font>
      <b/>
      <i/>
      <sz val="11"/>
      <color theme="1"/>
      <name val="Calibri Light"/>
      <family val="2"/>
      <scheme val="minor"/>
    </font>
    <font>
      <b/>
      <sz val="16"/>
      <color theme="6"/>
      <name val="Calibri"/>
      <family val="2"/>
    </font>
    <font>
      <b/>
      <sz val="16"/>
      <color theme="0"/>
      <name val="Calibri"/>
      <family val="2"/>
    </font>
    <font>
      <b/>
      <sz val="16"/>
      <name val="Calibri"/>
      <family val="2"/>
    </font>
    <font>
      <b/>
      <sz val="11"/>
      <name val="Calibri"/>
      <family val="2"/>
    </font>
    <font>
      <b/>
      <sz val="12"/>
      <name val="Calibri"/>
      <family val="2"/>
    </font>
    <font>
      <b/>
      <sz val="10"/>
      <name val="Calibri"/>
      <family val="2"/>
    </font>
    <font>
      <sz val="16"/>
      <color theme="1"/>
      <name val="Webdings"/>
      <family val="1"/>
      <charset val="2"/>
    </font>
    <font>
      <b/>
      <sz val="11"/>
      <color theme="1"/>
      <name val="Calibri"/>
      <family val="2"/>
    </font>
    <font>
      <b/>
      <i/>
      <u/>
      <sz val="11"/>
      <color theme="6"/>
      <name val="Calibri"/>
      <family val="2"/>
    </font>
    <font>
      <i/>
      <sz val="11"/>
      <color theme="6"/>
      <name val="Calibri"/>
      <family val="2"/>
    </font>
    <font>
      <i/>
      <sz val="11"/>
      <color theme="1"/>
      <name val="Calibri Light"/>
      <family val="2"/>
      <scheme val="minor"/>
    </font>
    <font>
      <sz val="8"/>
      <name val="Calibri Light"/>
      <family val="2"/>
      <scheme val="minor"/>
    </font>
    <font>
      <sz val="11"/>
      <name val="Calibri Light"/>
      <scheme val="minor"/>
    </font>
  </fonts>
  <fills count="16">
    <fill>
      <patternFill patternType="none"/>
    </fill>
    <fill>
      <patternFill patternType="gray125"/>
    </fill>
    <fill>
      <patternFill patternType="solid">
        <fgColor theme="2"/>
        <bgColor indexed="64"/>
      </patternFill>
    </fill>
    <fill>
      <patternFill patternType="solid">
        <fgColor theme="5"/>
        <bgColor indexed="64"/>
      </patternFill>
    </fill>
    <fill>
      <patternFill patternType="solid">
        <fgColor theme="4"/>
        <bgColor indexed="64"/>
      </patternFill>
    </fill>
    <fill>
      <patternFill patternType="solid">
        <fgColor theme="4" tint="0.749992370372631"/>
        <bgColor indexed="64"/>
      </patternFill>
    </fill>
    <fill>
      <patternFill patternType="solid">
        <fgColor theme="5" tint="0.59999389629810485"/>
        <bgColor indexed="64"/>
      </patternFill>
    </fill>
    <fill>
      <patternFill patternType="solid">
        <fgColor theme="6"/>
        <bgColor indexed="64"/>
      </patternFill>
    </fill>
    <fill>
      <patternFill patternType="solid">
        <fgColor theme="6" tint="0.59999389629810485"/>
        <bgColor indexed="64"/>
      </patternFill>
    </fill>
    <fill>
      <patternFill patternType="solid">
        <fgColor theme="3"/>
        <bgColor indexed="64"/>
      </patternFill>
    </fill>
    <fill>
      <patternFill patternType="solid">
        <fgColor theme="8"/>
        <bgColor indexed="64"/>
      </patternFill>
    </fill>
    <fill>
      <patternFill patternType="solid">
        <fgColor theme="8" tint="0.59999389629810485"/>
        <bgColor indexed="64"/>
      </patternFill>
    </fill>
    <fill>
      <patternFill patternType="solid">
        <fgColor theme="4" tint="0.89999084444715716"/>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249977111117893"/>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1">
    <xf numFmtId="0" fontId="0" fillId="0" borderId="0" xfId="0"/>
    <xf numFmtId="0" fontId="1" fillId="0" borderId="0" xfId="0" applyFont="1"/>
    <xf numFmtId="0" fontId="0" fillId="0" borderId="0" xfId="0" applyAlignment="1"/>
    <xf numFmtId="0" fontId="5" fillId="2" borderId="0" xfId="0" applyFont="1" applyFill="1" applyAlignment="1">
      <alignment horizontal="center" wrapText="1"/>
    </xf>
    <xf numFmtId="0" fontId="5" fillId="6" borderId="0" xfId="0" applyFont="1" applyFill="1" applyAlignment="1">
      <alignment horizontal="center" wrapText="1"/>
    </xf>
    <xf numFmtId="0" fontId="5" fillId="5" borderId="0" xfId="0" applyFont="1" applyFill="1" applyAlignment="1">
      <alignment horizontal="center" wrapText="1"/>
    </xf>
    <xf numFmtId="0" fontId="5" fillId="8" borderId="0" xfId="0" applyFont="1" applyFill="1" applyAlignment="1">
      <alignment horizontal="center" wrapText="1"/>
    </xf>
    <xf numFmtId="0" fontId="5" fillId="11" borderId="0" xfId="0" applyFont="1" applyFill="1" applyAlignment="1">
      <alignment horizontal="center" wrapText="1"/>
    </xf>
    <xf numFmtId="0" fontId="0" fillId="0" borderId="0" xfId="0" applyNumberFormat="1"/>
    <xf numFmtId="14" fontId="0" fillId="0" borderId="0" xfId="0" applyNumberFormat="1"/>
    <xf numFmtId="1" fontId="0" fillId="0" borderId="0" xfId="0" applyNumberFormat="1"/>
    <xf numFmtId="0" fontId="5" fillId="2" borderId="0" xfId="0" applyFont="1" applyFill="1" applyAlignment="1">
      <alignment horizontal="center"/>
    </xf>
    <xf numFmtId="0" fontId="1" fillId="0" borderId="0" xfId="0" applyFont="1" applyAlignment="1">
      <alignment wrapText="1"/>
    </xf>
    <xf numFmtId="0" fontId="1" fillId="0" borderId="0" xfId="0" applyFont="1" applyAlignment="1"/>
    <xf numFmtId="0" fontId="0" fillId="0" borderId="4" xfId="0" applyBorder="1"/>
    <xf numFmtId="0" fontId="0" fillId="0" borderId="6" xfId="0" applyBorder="1" applyAlignment="1">
      <alignment wrapText="1"/>
    </xf>
    <xf numFmtId="0" fontId="0" fillId="0" borderId="4" xfId="0" applyBorder="1" applyAlignment="1">
      <alignment wrapText="1"/>
    </xf>
    <xf numFmtId="0" fontId="0" fillId="0" borderId="6" xfId="0" applyBorder="1"/>
    <xf numFmtId="0" fontId="2" fillId="4" borderId="3" xfId="0" applyFont="1" applyFill="1" applyBorder="1" applyAlignment="1">
      <alignment horizontal="center"/>
    </xf>
    <xf numFmtId="0" fontId="2" fillId="4" borderId="1" xfId="0" applyFont="1" applyFill="1" applyBorder="1"/>
    <xf numFmtId="0" fontId="2" fillId="4" borderId="2" xfId="0" applyFont="1" applyFill="1" applyBorder="1" applyAlignment="1">
      <alignment horizontal="center"/>
    </xf>
    <xf numFmtId="0" fontId="2" fillId="4" borderId="2" xfId="0" applyFont="1" applyFill="1" applyBorder="1" applyAlignment="1">
      <alignment horizontal="center" wrapText="1"/>
    </xf>
    <xf numFmtId="0" fontId="0" fillId="12" borderId="5" xfId="0" applyFill="1" applyBorder="1"/>
    <xf numFmtId="0" fontId="2" fillId="4" borderId="3" xfId="0" applyFont="1" applyFill="1" applyBorder="1" applyAlignment="1">
      <alignment horizontal="center" wrapText="1"/>
    </xf>
    <xf numFmtId="0" fontId="8" fillId="12" borderId="4" xfId="0" applyFont="1" applyFill="1" applyBorder="1" applyAlignment="1">
      <alignment horizontal="left" wrapText="1" indent="1"/>
    </xf>
    <xf numFmtId="0" fontId="9" fillId="0" borderId="0" xfId="0" applyFont="1" applyAlignment="1">
      <alignment horizontal="right"/>
    </xf>
    <xf numFmtId="0" fontId="0" fillId="0" borderId="0" xfId="0" applyAlignment="1">
      <alignment horizontal="center" wrapText="1"/>
    </xf>
    <xf numFmtId="0" fontId="0" fillId="0" borderId="5" xfId="0" applyBorder="1" applyAlignment="1">
      <alignment horizontal="center"/>
    </xf>
    <xf numFmtId="0" fontId="0" fillId="0" borderId="8"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5" fillId="13" borderId="0" xfId="0" applyFont="1" applyFill="1" applyAlignment="1">
      <alignment horizontal="center" wrapText="1"/>
    </xf>
    <xf numFmtId="0" fontId="3" fillId="4" borderId="0" xfId="0" applyFont="1" applyFill="1" applyAlignment="1">
      <alignment horizontal="center"/>
    </xf>
    <xf numFmtId="0" fontId="3" fillId="4" borderId="0" xfId="0" applyFont="1" applyFill="1" applyAlignment="1">
      <alignment horizontal="center" wrapText="1"/>
    </xf>
    <xf numFmtId="0" fontId="0" fillId="0" borderId="4" xfId="0" applyBorder="1" applyAlignment="1">
      <alignment horizontal="center" wrapText="1"/>
    </xf>
    <xf numFmtId="0" fontId="0" fillId="0" borderId="6" xfId="0" applyBorder="1" applyAlignment="1">
      <alignment horizontal="center" wrapText="1"/>
    </xf>
    <xf numFmtId="0" fontId="16" fillId="0" borderId="4" xfId="0" applyFont="1" applyBorder="1" applyAlignment="1">
      <alignment wrapText="1"/>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xf numFmtId="0" fontId="16" fillId="0" borderId="8" xfId="0" applyFont="1" applyBorder="1" applyAlignment="1">
      <alignment horizontal="center"/>
    </xf>
    <xf numFmtId="0" fontId="16" fillId="0" borderId="7" xfId="0" applyFont="1" applyBorder="1" applyAlignment="1">
      <alignment horizontal="center" vertical="center"/>
    </xf>
    <xf numFmtId="0" fontId="10" fillId="0" borderId="0" xfId="0" applyFont="1" applyFill="1" applyAlignment="1"/>
    <xf numFmtId="0" fontId="11" fillId="0" borderId="0" xfId="0" applyFont="1" applyAlignment="1" applyProtection="1">
      <alignment horizontal="left"/>
      <protection locked="0"/>
    </xf>
    <xf numFmtId="0" fontId="0" fillId="0" borderId="0" xfId="0" applyFont="1"/>
    <xf numFmtId="14" fontId="11" fillId="0" borderId="0" xfId="0" applyNumberFormat="1" applyFont="1" applyAlignment="1" applyProtection="1">
      <alignment horizontal="left"/>
      <protection locked="0"/>
    </xf>
    <xf numFmtId="0" fontId="1" fillId="0" borderId="0" xfId="0" applyFont="1" applyFill="1" applyAlignment="1"/>
    <xf numFmtId="0" fontId="17" fillId="0" borderId="0" xfId="0" applyFont="1" applyAlignment="1">
      <alignment horizontal="left" indent="17"/>
    </xf>
    <xf numFmtId="0" fontId="18" fillId="0" borderId="0" xfId="0" applyFont="1" applyAlignment="1">
      <alignment horizontal="left"/>
    </xf>
    <xf numFmtId="0" fontId="0" fillId="0" borderId="0" xfId="0" applyFont="1" applyAlignment="1"/>
    <xf numFmtId="0" fontId="10" fillId="4" borderId="0" xfId="0" applyFont="1" applyFill="1" applyAlignment="1">
      <alignment horizontal="center"/>
    </xf>
    <xf numFmtId="0" fontId="18" fillId="0" borderId="0" xfId="0" applyFont="1" applyAlignment="1">
      <alignment horizontal="left" indent="19"/>
    </xf>
    <xf numFmtId="0" fontId="1" fillId="0" borderId="0" xfId="0" applyFont="1" applyFill="1" applyAlignment="1">
      <alignment horizontal="left"/>
    </xf>
    <xf numFmtId="0" fontId="2" fillId="7" borderId="0" xfId="0" applyFont="1" applyFill="1" applyAlignment="1">
      <alignment horizontal="center"/>
    </xf>
    <xf numFmtId="0" fontId="4" fillId="3" borderId="0" xfId="0" applyFont="1" applyFill="1" applyAlignment="1">
      <alignment horizontal="center"/>
    </xf>
    <xf numFmtId="0" fontId="4" fillId="4" borderId="0" xfId="0" applyFont="1" applyFill="1" applyAlignment="1">
      <alignment horizontal="center"/>
    </xf>
    <xf numFmtId="0" fontId="0" fillId="0" borderId="0" xfId="0" applyAlignment="1">
      <alignment horizontal="left" wrapText="1"/>
    </xf>
    <xf numFmtId="0" fontId="0" fillId="0" borderId="0" xfId="0" applyFont="1" applyAlignment="1">
      <alignment horizontal="left" wrapText="1"/>
    </xf>
    <xf numFmtId="0" fontId="4" fillId="9" borderId="0" xfId="0" applyFont="1" applyFill="1" applyAlignment="1">
      <alignment horizontal="left"/>
    </xf>
    <xf numFmtId="0" fontId="21" fillId="2" borderId="0" xfId="0" applyFont="1" applyFill="1" applyAlignment="1">
      <alignment horizontal="center"/>
    </xf>
    <xf numFmtId="0" fontId="12" fillId="10" borderId="0" xfId="0" applyFont="1" applyFill="1" applyAlignment="1">
      <alignment horizontal="left"/>
    </xf>
    <xf numFmtId="0" fontId="5" fillId="14" borderId="0" xfId="0" applyFont="1" applyFill="1" applyAlignment="1">
      <alignment horizontal="center" wrapText="1"/>
    </xf>
    <xf numFmtId="0" fontId="4" fillId="15" borderId="0" xfId="0" applyFont="1" applyFill="1" applyAlignment="1">
      <alignment horizontal="center"/>
    </xf>
    <xf numFmtId="0" fontId="18" fillId="0" borderId="0" xfId="0" applyFont="1" applyAlignment="1"/>
  </cellXfs>
  <cellStyles count="1">
    <cellStyle name="Normal" xfId="0" builtinId="0"/>
  </cellStyles>
  <dxfs count="329">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19" formatCode="m/d/yyyy"/>
    </dxf>
    <dxf>
      <numFmt numFmtId="0" formatCode="General"/>
    </dxf>
    <dxf>
      <alignment horizontal="center" vertical="bottom" textRotation="0" wrapText="1" indent="0" justifyLastLine="0" shrinkToFit="0" readingOrder="0"/>
    </dxf>
    <dxf>
      <numFmt numFmtId="0" formatCode="General"/>
    </dxf>
    <dxf>
      <numFmt numFmtId="0" formatCode="General"/>
    </dxf>
    <dxf>
      <numFmt numFmtId="0" formatCode="General"/>
    </dxf>
    <dxf>
      <numFmt numFmtId="0" formatCode="General"/>
    </dxf>
    <dxf>
      <numFmt numFmtId="19" formatCode="m/d/yyyy"/>
    </dxf>
    <dxf>
      <font>
        <strike val="0"/>
        <outline val="0"/>
        <shadow val="0"/>
        <u val="none"/>
        <vertAlign val="baseline"/>
        <sz val="11"/>
        <color auto="1"/>
        <name val="Calibri Light"/>
        <scheme val="minor"/>
      </font>
      <fill>
        <patternFill patternType="solid">
          <fgColor indexed="64"/>
          <bgColor theme="2"/>
        </patternFill>
      </fill>
      <alignment horizontal="center"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19" formatCode="m/d/yyyy"/>
    </dxf>
    <dxf>
      <font>
        <strike val="0"/>
        <outline val="0"/>
        <shadow val="0"/>
        <u val="none"/>
        <vertAlign val="baseline"/>
        <sz val="11"/>
        <color auto="1"/>
        <name val="Calibri Light"/>
        <scheme val="minor"/>
      </font>
      <fill>
        <patternFill patternType="solid">
          <fgColor indexed="64"/>
          <bgColor theme="2"/>
        </patternFill>
      </fill>
      <alignment horizontal="center"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font>
        <strike val="0"/>
        <outline val="0"/>
        <shadow val="0"/>
        <u val="none"/>
        <vertAlign val="baseline"/>
        <sz val="11"/>
        <color auto="1"/>
        <name val="Calibri Light"/>
        <scheme val="minor"/>
      </font>
      <fill>
        <patternFill patternType="solid">
          <fgColor indexed="64"/>
          <bgColor theme="2"/>
        </patternFill>
      </fill>
      <alignment horizontal="center" vertical="bottom"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 formatCode="0"/>
    </dxf>
    <dxf>
      <numFmt numFmtId="1" formatCode="0"/>
    </dxf>
    <dxf>
      <numFmt numFmtId="19" formatCode="m/d/yyyy"/>
    </dxf>
    <dxf>
      <font>
        <strike val="0"/>
        <outline val="0"/>
        <shadow val="0"/>
        <u val="none"/>
        <vertAlign val="baseline"/>
        <sz val="11"/>
        <color auto="1"/>
        <name val="Calibri Light"/>
        <scheme val="minor"/>
      </font>
      <fill>
        <patternFill patternType="solid">
          <fgColor indexed="64"/>
          <bgColor theme="2"/>
        </patternFill>
      </fill>
      <alignment horizontal="center"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font>
        <b val="0"/>
        <strike val="0"/>
        <outline val="0"/>
        <shadow val="0"/>
        <u val="none"/>
        <vertAlign val="baseline"/>
        <sz val="11"/>
        <color auto="1"/>
        <name val="Calibri Light"/>
        <scheme val="minor"/>
      </font>
      <fill>
        <patternFill patternType="solid">
          <fgColor indexed="64"/>
          <bgColor theme="2"/>
        </patternFill>
      </fill>
      <alignment horizontal="center"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strike val="0"/>
        <outline val="0"/>
        <shadow val="0"/>
        <u val="none"/>
        <vertAlign val="baseline"/>
        <sz val="11"/>
        <color auto="1"/>
        <name val="Calibri Light"/>
        <scheme val="minor"/>
      </font>
      <fill>
        <patternFill patternType="solid">
          <fgColor indexed="64"/>
          <bgColor theme="2"/>
        </patternFill>
      </fill>
      <alignment horizontal="center"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0" formatCode="General"/>
    </dxf>
    <dxf>
      <font>
        <strike val="0"/>
        <outline val="0"/>
        <shadow val="0"/>
        <u val="none"/>
        <vertAlign val="baseline"/>
        <sz val="11"/>
        <color auto="1"/>
        <name val="Calibri Light"/>
        <scheme val="minor"/>
      </font>
      <fill>
        <patternFill patternType="solid">
          <fgColor indexed="64"/>
          <bgColor theme="2"/>
        </patternFill>
      </fill>
      <alignment horizontal="center"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19" formatCode="m/d/yyyy"/>
    </dxf>
    <dxf>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GZ4" totalsRowShown="0" headerRowDxfId="167">
  <tableColumns count="208">
    <tableColumn id="48" xr3:uid="{00000000-0010-0000-0000-000030000000}" name="Client #" dataDxfId="166">
      <calculatedColumnFormula>$A2+1</calculatedColumnFormula>
    </tableColumn>
    <tableColumn id="49" xr3:uid="{00000000-0010-0000-0000-000031000000}" name="First Date of Service" dataDxfId="165">
      <calculatedColumnFormula array="1">MIN(IF(Table3[Name]=Table1[[#This Row],[Name]],Table3[Date of Service]))</calculatedColumnFormula>
    </tableColumn>
    <tableColumn id="47" xr3:uid="{00000000-0010-0000-0000-00002F000000}" name="Last Date of Service" dataDxfId="164">
      <calculatedColumnFormula array="1">MAX(IF(Table3[Name]=Table1[[#This Row],[Name]],Table3[Date of Service]))</calculatedColumnFormula>
    </tableColumn>
    <tableColumn id="173" xr3:uid="{00000000-0010-0000-0000-0000AD000000}" name="Case #"/>
    <tableColumn id="1" xr3:uid="{00000000-0010-0000-0000-000001000000}" name="Name"/>
    <tableColumn id="3" xr3:uid="{00000000-0010-0000-0000-000003000000}" name="Age"/>
    <tableColumn id="50" xr3:uid="{00000000-0010-0000-0000-000032000000}" name="Presenting Victimization"/>
    <tableColumn id="207" xr3:uid="{D9A57E0B-9684-46EA-A86D-B53E0B375B53}" name="Female"/>
    <tableColumn id="206" xr3:uid="{A85D8833-20A0-408A-B421-12F1BFFBFD3B}" name="Male"/>
    <tableColumn id="205" xr3:uid="{1EDFFDC0-9B79-4B8E-8833-0FE9D0BEF917}" name="Transgender"/>
    <tableColumn id="204" xr3:uid="{4E21DDF8-9103-45D2-A58D-E342A2C9FFA0}" name="Non-Binary/Non-Conforming"/>
    <tableColumn id="203" xr3:uid="{B6FB1142-0C16-43B8-9B2F-BB49471D2310}" name="Two-Spirit"/>
    <tableColumn id="202" xr3:uid="{F7ABE8FB-5A82-4112-ADEC-9495CC48E23B}" name="Other Gender"/>
    <tableColumn id="201" xr3:uid="{58DF2770-A575-463B-B78C-B6FDAF6DA478}" name="Unknown Gender"/>
    <tableColumn id="4" xr3:uid="{00000000-0010-0000-0000-000004000000}" name="American Indian/ Alaska Native"/>
    <tableColumn id="5" xr3:uid="{00000000-0010-0000-0000-000005000000}" name="Asian"/>
    <tableColumn id="6" xr3:uid="{00000000-0010-0000-0000-000006000000}" name="Black/African American"/>
    <tableColumn id="7" xr3:uid="{00000000-0010-0000-0000-000007000000}" name="Hispanic/Latino/ Spanish Origin"/>
    <tableColumn id="189" xr3:uid="{3B97F3BE-9B51-4A52-9562-EAA8A306B28A}" name="Middle Eastern or North African"/>
    <tableColumn id="8" xr3:uid="{00000000-0010-0000-0000-000008000000}" name="Native Hawaiian/ Other Pacific Islander"/>
    <tableColumn id="9" xr3:uid="{00000000-0010-0000-0000-000009000000}" name="White"/>
    <tableColumn id="10" xr3:uid="{00000000-0010-0000-0000-00000A000000}" name="Other race/ ethnicity/origin"/>
    <tableColumn id="11" xr3:uid="{00000000-0010-0000-0000-00000B000000}" name="Unknown race/ethnicity"/>
    <tableColumn id="12" xr3:uid="{00000000-0010-0000-0000-00000C000000}" name="LGBTQ"/>
    <tableColumn id="13" xr3:uid="{00000000-0010-0000-0000-00000D000000}" name="Has disability"/>
    <tableColumn id="14" xr3:uid="{00000000-0010-0000-0000-00000E000000}" name="Primary language not English"/>
    <tableColumn id="15" xr3:uid="{00000000-0010-0000-0000-00000F000000}" name="D/deaf or hard of hearing"/>
    <tableColumn id="16" xr3:uid="{00000000-0010-0000-0000-000010000000}" name="Immigrant/refugee/ asylum seeker"/>
    <tableColumn id="17" xr3:uid="{00000000-0010-0000-0000-000011000000}" name="Are/were incarcerated"/>
    <tableColumn id="18" xr3:uid="{00000000-0010-0000-0000-000012000000}" name="Live in rural area"/>
    <tableColumn id="20" xr3:uid="{00000000-0010-0000-0000-000014000000}" name="Sexual Assault"/>
    <tableColumn id="21" xr3:uid="{00000000-0010-0000-0000-000015000000}" name="Domestic violence/ dating violence"/>
    <tableColumn id="22" xr3:uid="{00000000-0010-0000-0000-000016000000}" name="Stalking"/>
    <tableColumn id="181" xr3:uid="{4CD6A961-8A30-44A6-828B-1769BD57ECA1}" name="Female Genital Mutilation/Cutting"/>
    <tableColumn id="182" xr3:uid="{5CD48D65-4B11-4D04-85B7-0AA0467A41DF}" name="Adult Survivor of Child Sexual Abuse"/>
    <tableColumn id="23" xr3:uid="{00000000-0010-0000-0000-000017000000}" name="Sex Trafficking"/>
    <tableColumn id="183" xr3:uid="{3B5225C8-7F02-4792-BD0D-D6BE2364FF7E}" name="Labor Trafficking"/>
    <tableColumn id="184" xr3:uid="{0AC3B44C-7D6A-490E-952D-3697796D7AE4}" name="Economic Abuse"/>
    <tableColumn id="186" xr3:uid="{292C4299-36BF-48B3-896E-688952CB8398}" name="Technological Abuse"/>
    <tableColumn id="185" xr3:uid="{F538E70B-0C9B-4E90-B295-1651FC4CDB4F}" name="Forced Marriage"/>
    <tableColumn id="30" xr3:uid="{00000000-0010-0000-0000-00001E000000}" name="Conflict of interest"/>
    <tableColumn id="31" xr3:uid="{00000000-0010-0000-0000-00001F000000}" name="Did not meet statutory requirements"/>
    <tableColumn id="32" xr3:uid="{00000000-0010-0000-0000-000020000000}" name="Hours of operation"/>
    <tableColumn id="33" xr3:uid="{00000000-0010-0000-0000-000021000000}" name="Insufficient or lack of culturally appropriate services"/>
    <tableColumn id="34" xr3:uid="{00000000-0010-0000-0000-000022000000}" name="Insufficient or lack of agency capacity to provide language access (including sign language or assistive communication devices)"/>
    <tableColumn id="35" xr3:uid="{00000000-0010-0000-0000-000023000000}" name="Insufficient or lack of services for people with disabilities"/>
    <tableColumn id="192" xr3:uid="{37F90907-1515-4F18-B7C5-1782BCDFABB5}" name="Insufficient or lack of services for people who are D/deaf or hard of hearing"/>
    <tableColumn id="36" xr3:uid="{00000000-0010-0000-0000-000024000000}" name="Lack of childcare"/>
    <tableColumn id="37" xr3:uid="{00000000-0010-0000-0000-000025000000}" name="Program reached capacity"/>
    <tableColumn id="38" xr3:uid="{00000000-0010-0000-0000-000026000000}" name="Program rules not acceptable to vicitm/survivor"/>
    <tableColumn id="39" xr3:uid="{00000000-0010-0000-0000-000027000000}" name="Program unable to provide service due to limited resources/priority-setting"/>
    <tableColumn id="40" xr3:uid="{00000000-0010-0000-0000-000028000000}" name="Services inappropriate or inadequate for vicitms/survivors with mental health issues"/>
    <tableColumn id="41" xr3:uid="{00000000-0010-0000-0000-000029000000}" name="Services inappropriate or inadequate for vicitms/survivors with substance abuse issues"/>
    <tableColumn id="42" xr3:uid="{00000000-0010-0000-0000-00002A000000}" name="Services not appropriate for victim/survivor"/>
    <tableColumn id="43" xr3:uid="{00000000-0010-0000-0000-00002B000000}" name="Services not available for victim/survivors accompanied by male adolescents"/>
    <tableColumn id="44" xr3:uid="{00000000-0010-0000-0000-00002C000000}" name="Transportation"/>
    <tableColumn id="45" xr3:uid="{00000000-0010-0000-0000-00002D000000}" name="Other"/>
    <tableColumn id="46" xr3:uid="{00000000-0010-0000-0000-00002E000000}" name="If Other, please specify"/>
    <tableColumn id="19" xr3:uid="{00000000-0010-0000-0000-000013000000}" name="YearFirst" dataDxfId="163">
      <calculatedColumnFormula>YEAR(Table1[[#This Row],[First Date of Service]])</calculatedColumnFormula>
    </tableColumn>
    <tableColumn id="84" xr3:uid="{00000000-0010-0000-0000-000054000000}" name="QFirst" dataDxfId="162">
      <calculatedColumnFormula>IF(AND(Table1[[#This Row],[First Date of Service]]&gt;='Quarterly SAPR Data'!$C$3,Table1[[#This Row],[First Date of Service]]&lt;='Quarterly SAPR Data'!$E$3),1,0)</calculatedColumnFormula>
    </tableColumn>
    <tableColumn id="24" xr3:uid="{00000000-0010-0000-0000-000018000000}" name="YearLast" dataDxfId="161">
      <calculatedColumnFormula>YEAR(Table1[[#This Row],[Last Date of Service]])</calculatedColumnFormula>
    </tableColumn>
    <tableColumn id="109" xr3:uid="{00000000-0010-0000-0000-00006D000000}" name="Qlast" dataDxfId="160">
      <calculatedColumnFormula>IF(AND(Table1[[#This Row],[Last Date of Service]]&gt;='Quarterly SAPR Data'!$C$3,Table1[[#This Row],[Last Date of Service]]&lt;='Quarterly SAPR Data'!$E$3),1,0)</calculatedColumnFormula>
    </tableColumn>
    <tableColumn id="172" xr3:uid="{75604FD2-A303-4366-BD2C-CCD00B33DFC5}" name="YearFlag" dataDxfId="159">
      <calculatedColumnFormula array="1">MAX(IF(Table3[Name]=Table1[[#This Row],[Name]],Table3[YearFlag]))</calculatedColumnFormula>
    </tableColumn>
    <tableColumn id="174" xr3:uid="{6BF00A4E-1583-4E0A-8AF4-E5AAFA620C2A}" name="Qflag" dataDxfId="158">
      <calculatedColumnFormula array="1">MAX(IF(Table3[Name]=Table1[[#This Row],[Name]],Table3[Quarter]))</calculatedColumnFormula>
    </tableColumn>
    <tableColumn id="25" xr3:uid="{00000000-0010-0000-0000-000019000000}" name="CountPrimarySA" dataDxfId="157">
      <calculatedColumnFormula>IF(AND(Table1[[#This Row],[YearFlag]]=1,Table1[[#This Row],[Presenting Victimization]]=Lists!$A$2),1,0)</calculatedColumnFormula>
    </tableColumn>
    <tableColumn id="26" xr3:uid="{00000000-0010-0000-0000-00001A000000}" name="CountPrimaryDV" dataDxfId="156">
      <calculatedColumnFormula>IF(AND(Table1[[#This Row],[YearFlag]]=1,Table1[[#This Row],[Presenting Victimization]]=Lists!$A$3),1,0)</calculatedColumnFormula>
    </tableColumn>
    <tableColumn id="27" xr3:uid="{00000000-0010-0000-0000-00001B000000}" name="CountPrimaryST" dataDxfId="155">
      <calculatedColumnFormula>IF(AND(Table1[[#This Row],[YearFlag]]=1,Table1[[#This Row],[Presenting Victimization]]=Lists!$A$4),1,0)</calculatedColumnFormula>
    </tableColumn>
    <tableColumn id="175" xr3:uid="{C6226C2C-EE95-4059-9490-DB48E6A48E13}" name="CountPrimaryFGM" dataDxfId="62">
      <calculatedColumnFormula>IF(AND(Table1[[#This Row],[YearFlag]]=1,Table1[[#This Row],[Presenting Victimization]]=Lists!$A$5),1,0)</calculatedColumnFormula>
    </tableColumn>
    <tableColumn id="210" xr3:uid="{9C489DB4-28DF-436D-98A6-C31D6BC469A2}" name="CountSecondary" dataDxfId="3">
      <calculatedColumnFormula>IF(AND(Table1[[#This Row],[YearFlag]]=1,SUM(Table1[[#This Row],[AddSA]:[AddFM]])&gt;0),1,0)</calculatedColumnFormula>
    </tableColumn>
    <tableColumn id="28" xr3:uid="{00000000-0010-0000-0000-00001C000000}" name="ConflictCount" dataDxfId="154">
      <calculatedColumnFormula>IF(AND(Table1[[#This Row],[YearFlag]]=1,Table1[[#This Row],[Conflict of interest]]=Lists!$E$2),1,0)</calculatedColumnFormula>
    </tableColumn>
    <tableColumn id="29" xr3:uid="{00000000-0010-0000-0000-00001D000000}" name="StatuteCount" dataDxfId="153">
      <calculatedColumnFormula>IF(AND(Table1[[#This Row],[YearFlag]]=1,Table1[[#This Row],[Did not meet statutory requirements]]=Lists!$E$2),1,0)</calculatedColumnFormula>
    </tableColumn>
    <tableColumn id="51" xr3:uid="{00000000-0010-0000-0000-000033000000}" name="HoursCount" dataDxfId="152">
      <calculatedColumnFormula>IF(AND(Table1[[#This Row],[YearFlag]]=1,Table1[[#This Row],[Hours of operation]]=Lists!$E$2),1,0)</calculatedColumnFormula>
    </tableColumn>
    <tableColumn id="52" xr3:uid="{00000000-0010-0000-0000-000034000000}" name="CulturalCount" dataDxfId="151">
      <calculatedColumnFormula>IF(AND(Table1[[#This Row],[YearFlag]]=1,Table1[[#This Row],[Insufficient or lack of culturally appropriate services]]=Lists!$E$2),1,0)</calculatedColumnFormula>
    </tableColumn>
    <tableColumn id="53" xr3:uid="{00000000-0010-0000-0000-000035000000}" name="LanguageCount" dataDxfId="150">
      <calculatedColumnFormula>IF(AND(Table1[[#This Row],[YearFlag]]=1,Table1[[#This Row],[Insufficient or lack of agency capacity to provide language access (including sign language or assistive communication devices)]]=Lists!$E$2),1,0)</calculatedColumnFormula>
    </tableColumn>
    <tableColumn id="54" xr3:uid="{00000000-0010-0000-0000-000036000000}" name="DisabilitiesCount" dataDxfId="149">
      <calculatedColumnFormula>IF(AND(Table1[[#This Row],[YearFlag]]=1,Table1[[#This Row],[Insufficient or lack of services for people with disabilities]]=Lists!$E$2),1,0)</calculatedColumnFormula>
    </tableColumn>
    <tableColumn id="193" xr3:uid="{399524A8-3288-4D69-91FC-E9B4FB83B99C}" name="DeafCount" dataDxfId="31">
      <calculatedColumnFormula>IF(AND(Table1[[#This Row],[YearFlag]]=1,Table1[[#This Row],[Insufficient or lack of services for people who are D/deaf or hard of hearing]]=Lists!$E$2),1,0)</calculatedColumnFormula>
    </tableColumn>
    <tableColumn id="55" xr3:uid="{00000000-0010-0000-0000-000037000000}" name="ChildcareCount" dataDxfId="148">
      <calculatedColumnFormula>IF(AND(Table1[[#This Row],[YearFlag]]=1,Table1[[#This Row],[Lack of childcare]]=Lists!$E$2),1,0)</calculatedColumnFormula>
    </tableColumn>
    <tableColumn id="56" xr3:uid="{00000000-0010-0000-0000-000038000000}" name="CapacityCount" dataDxfId="147">
      <calculatedColumnFormula>IF(AND(Table1[[#This Row],[YearFlag]]=1,Table1[[#This Row],[Program reached capacity]]=Lists!$E$2),1,0)</calculatedColumnFormula>
    </tableColumn>
    <tableColumn id="57" xr3:uid="{00000000-0010-0000-0000-000039000000}" name="RulesCount" dataDxfId="146">
      <calculatedColumnFormula>IF(AND(Table1[[#This Row],[YearFlag]]=1,Table1[[#This Row],[Program rules not acceptable to vicitm/survivor]]=Lists!$E$2),1,0)</calculatedColumnFormula>
    </tableColumn>
    <tableColumn id="58" xr3:uid="{00000000-0010-0000-0000-00003A000000}" name="ResourcesCount" dataDxfId="145">
      <calculatedColumnFormula>IF(AND(Table1[[#This Row],[YearFlag]]=1,Table1[[#This Row],[Program unable to provide service due to limited resources/priority-setting]]=Lists!$E$2),1,0)</calculatedColumnFormula>
    </tableColumn>
    <tableColumn id="59" xr3:uid="{00000000-0010-0000-0000-00003B000000}" name="MHCount" dataDxfId="144">
      <calculatedColumnFormula>IF(AND(Table1[[#This Row],[YearFlag]]=1,Table1[[#This Row],[Services inappropriate or inadequate for vicitms/survivors with mental health issues]]=Lists!$E$2),1,0)</calculatedColumnFormula>
    </tableColumn>
    <tableColumn id="60" xr3:uid="{00000000-0010-0000-0000-00003C000000}" name="SACount" dataDxfId="143">
      <calculatedColumnFormula>IF(AND(Table1[[#This Row],[YearFlag]]=1,Table1[[#This Row],[Services inappropriate or inadequate for vicitms/survivors with substance abuse issues]]=Lists!$E$2),1,0)</calculatedColumnFormula>
    </tableColumn>
    <tableColumn id="61" xr3:uid="{00000000-0010-0000-0000-00003D000000}" name="NACount" dataDxfId="142">
      <calculatedColumnFormula>IF(AND(Table1[[#This Row],[YearFlag]]=1,Table1[[#This Row],[Services not appropriate for victim/survivor]]=Lists!$E$2),1,0)</calculatedColumnFormula>
    </tableColumn>
    <tableColumn id="62" xr3:uid="{00000000-0010-0000-0000-00003E000000}" name="MaleCount" dataDxfId="141">
      <calculatedColumnFormula>IF(AND(Table1[[#This Row],[YearFlag]]=1,Table1[[#This Row],[Services not available for victim/survivors accompanied by male adolescents]]=Lists!$E$2),1,0)</calculatedColumnFormula>
    </tableColumn>
    <tableColumn id="63" xr3:uid="{00000000-0010-0000-0000-00003F000000}" name="TransportationCount" dataDxfId="140">
      <calculatedColumnFormula>IF(AND(Table1[[#This Row],[YearFlag]]=1,Table1[[#This Row],[Transportation]]=Lists!$E$2),1,0)</calculatedColumnFormula>
    </tableColumn>
    <tableColumn id="64" xr3:uid="{00000000-0010-0000-0000-000040000000}" name="OtherCount" dataDxfId="139">
      <calculatedColumnFormula>IF(AND(Table1[[#This Row],[YearFlag]]=1,Table1[[#This Row],[Other]]=Lists!$E$2),1,0)</calculatedColumnFormula>
    </tableColumn>
    <tableColumn id="68" xr3:uid="{00000000-0010-0000-0000-000044000000}" name="PartialCount" dataDxfId="138">
      <calculatedColumnFormula>SUM(Table1[[#This Row],[ConflictCount]:[OtherCount]])</calculatedColumnFormula>
    </tableColumn>
    <tableColumn id="74" xr3:uid="{00000000-0010-0000-0000-00004A000000}" name="ServedSA" dataDxfId="137">
      <calculatedColumnFormula>IF(AND(Table1[[#This Row],[CountPrimarySA]]&gt;0,Table1[[#This Row],[PartialCount]]=0),1,0)</calculatedColumnFormula>
    </tableColumn>
    <tableColumn id="73" xr3:uid="{00000000-0010-0000-0000-000049000000}" name="ServedDV" dataDxfId="136">
      <calculatedColumnFormula>IF(AND(Table1[[#This Row],[CountPrimaryDV]]&gt;0,Table1[[#This Row],[PartialCount]]=0),1,0)</calculatedColumnFormula>
    </tableColumn>
    <tableColumn id="72" xr3:uid="{00000000-0010-0000-0000-000048000000}" name="ServedST" dataDxfId="135">
      <calculatedColumnFormula>IF(AND(Table1[[#This Row],[CountPrimaryST]]&gt;0,Table1[[#This Row],[PartialCount]]=0),1,0)</calculatedColumnFormula>
    </tableColumn>
    <tableColumn id="176" xr3:uid="{083494F3-B61F-4CA3-8E31-9C6B69EE6F14}" name="ServedFGM" dataDxfId="61">
      <calculatedColumnFormula>IF(AND(Table1[[#This Row],[CountPrimaryFGM]]&gt;0,Table1[[#This Row],[PartialCount]]=0),1,0)</calculatedColumnFormula>
    </tableColumn>
    <tableColumn id="65" xr3:uid="{00000000-0010-0000-0000-000041000000}" name="PartialSA" dataDxfId="134">
      <calculatedColumnFormula>IF(AND(Table1[[#This Row],[CountPrimarySA]]&gt;0,Table1[[#This Row],[PartialCount]]&gt;0),1,0)</calculatedColumnFormula>
    </tableColumn>
    <tableColumn id="66" xr3:uid="{00000000-0010-0000-0000-000042000000}" name="PartialDV" dataDxfId="133">
      <calculatedColumnFormula>IF(AND(Table1[[#This Row],[CountPrimaryDV]]&gt;0,Table1[[#This Row],[PartialCount]]&gt;0),1,0)</calculatedColumnFormula>
    </tableColumn>
    <tableColumn id="67" xr3:uid="{00000000-0010-0000-0000-000043000000}" name="PartialST" dataDxfId="132">
      <calculatedColumnFormula>IF(AND(Table1[[#This Row],[CountPrimaryST]]&gt;0,Table1[[#This Row],[PartialCount]]&gt;0),1,0)</calculatedColumnFormula>
    </tableColumn>
    <tableColumn id="179" xr3:uid="{86156FF1-03A9-47FB-8135-AECD444C190A}" name="PartialFGM" dataDxfId="58">
      <calculatedColumnFormula>IF(AND(Table1[[#This Row],[CountPrimaryFGM]]&gt;0,Table1[[#This Row],[PartialCount]]&gt;0),1,0)</calculatedColumnFormula>
    </tableColumn>
    <tableColumn id="69" xr3:uid="{00000000-0010-0000-0000-000045000000}" name="NewSA" dataDxfId="2">
      <calculatedColumnFormula>IF(AND(Table1[[#This Row],[CountPrimarySA]]=1,Table1[[#This Row],[YearFirst]]='Annual SAPR Data'!$C$3),1,0)</calculatedColumnFormula>
    </tableColumn>
    <tableColumn id="70" xr3:uid="{00000000-0010-0000-0000-000046000000}" name="NewDV" dataDxfId="1">
      <calculatedColumnFormula>IF(AND(Table1[[#This Row],[CountPrimaryDV]]=1,Table1[[#This Row],[YearFirst]]='Annual SAPR Data'!$C$3),1,0)</calculatedColumnFormula>
    </tableColumn>
    <tableColumn id="71" xr3:uid="{00000000-0010-0000-0000-000047000000}" name="NewST" dataDxfId="0">
      <calculatedColumnFormula>IF(AND(Table1[[#This Row],[CountPrimaryST]]=1,Table1[[#This Row],[YearFirst]]='Annual SAPR Data'!$C$3),1,0)</calculatedColumnFormula>
    </tableColumn>
    <tableColumn id="75" xr3:uid="{00000000-0010-0000-0000-00004B000000}" name="AddSA" dataDxfId="55">
      <calculatedColumnFormula>IF(AND(Table1[[#This Row],[YearFlag]]=1,Table1[[#This Row],[Sexual Assault]]=Lists!$E$2),1,0)</calculatedColumnFormula>
    </tableColumn>
    <tableColumn id="76" xr3:uid="{00000000-0010-0000-0000-00004C000000}" name="AddDV" dataDxfId="54">
      <calculatedColumnFormula>IF(AND(Table1[[#This Row],[YearFlag]]=1,Table1[[#This Row],[Domestic violence/ dating violence]]=Lists!$E$2),1,0)</calculatedColumnFormula>
    </tableColumn>
    <tableColumn id="77" xr3:uid="{00000000-0010-0000-0000-00004D000000}" name="AddStalk" dataDxfId="53">
      <calculatedColumnFormula>IF(AND(Table1[[#This Row],[YearFlag]]=1,Table1[[#This Row],[Stalking]]=Lists!$E$2),1,0)</calculatedColumnFormula>
    </tableColumn>
    <tableColumn id="78" xr3:uid="{00000000-0010-0000-0000-00004E000000}" name="AddFGM" dataDxfId="52">
      <calculatedColumnFormula>IF(AND(Table1[[#This Row],[YearFlag]]=1,Table1[[#This Row],[Female Genital Mutilation/Cutting]]=Lists!$E$2),1,0)</calculatedColumnFormula>
    </tableColumn>
    <tableColumn id="79" xr3:uid="{00000000-0010-0000-0000-00004F000000}" name="AddCSA" dataDxfId="51">
      <calculatedColumnFormula>IF(AND(Table1[[#This Row],[YearFlag]]=1,Table1[[#This Row],[Adult Survivor of Child Sexual Abuse]]=Lists!$E$2),1,0)</calculatedColumnFormula>
    </tableColumn>
    <tableColumn id="80" xr3:uid="{00000000-0010-0000-0000-000050000000}" name="AddSexT" dataDxfId="50">
      <calculatedColumnFormula>IF(AND(Table1[[#This Row],[YearFlag]]=1,Table1[[#This Row],[Sex Trafficking]]=Lists!$E$2),1,0)</calculatedColumnFormula>
    </tableColumn>
    <tableColumn id="81" xr3:uid="{00000000-0010-0000-0000-000051000000}" name="AddLaborT" dataDxfId="49">
      <calculatedColumnFormula>IF(AND(Table1[[#This Row],[YearFlag]]=1,Table1[[#This Row],[Labor Trafficking]]=Lists!$E$2),1,0)</calculatedColumnFormula>
    </tableColumn>
    <tableColumn id="82" xr3:uid="{00000000-0010-0000-0000-000052000000}" name="AddEcon" dataDxfId="48">
      <calculatedColumnFormula>IF(AND(Table1[[#This Row],[YearFlag]]=1,Table1[[#This Row],[Economic Abuse]]=Lists!$E$2),1,0)</calculatedColumnFormula>
    </tableColumn>
    <tableColumn id="83" xr3:uid="{00000000-0010-0000-0000-000053000000}" name="AddTech" dataDxfId="47">
      <calculatedColumnFormula>IF(AND(Table1[[#This Row],[YearFlag]]=1,Table1[[#This Row],[Technological Abuse]]=Lists!$E$2),1,0)</calculatedColumnFormula>
    </tableColumn>
    <tableColumn id="85" xr3:uid="{00000000-0010-0000-0000-000055000000}" name="AddFM" dataDxfId="46">
      <calculatedColumnFormula>IF(AND(Table1[[#This Row],[YearFlag]]=1,Table1[[#This Row],[Forced Marriage]]=Lists!$E$2),1,0)</calculatedColumnFormula>
    </tableColumn>
    <tableColumn id="188" xr3:uid="{EC5D5F95-2846-4AE1-8DB4-B5DC6233C23C}" name="Female2" dataDxfId="29">
      <calculatedColumnFormula>IF(AND(Table1[[#This Row],[YearFlag]]=1,Table1[[#This Row],[Female]]=Lists!$E$2),1,0)</calculatedColumnFormula>
    </tableColumn>
    <tableColumn id="86" xr3:uid="{00000000-0010-0000-0000-000056000000}" name="Male2" dataDxfId="28">
      <calculatedColumnFormula>IF(AND(Table1[[#This Row],[YearFlag]]=1,Table1[[#This Row],[Male]]=Lists!$E$2),1,0)</calculatedColumnFormula>
    </tableColumn>
    <tableColumn id="87" xr3:uid="{00000000-0010-0000-0000-000057000000}" name="Transgender2" dataDxfId="27">
      <calculatedColumnFormula>IF(AND(Table1[[#This Row],[YearFlag]]=1,Table1[[#This Row],[Transgender]]=Lists!$E$2),1,0)</calculatedColumnFormula>
    </tableColumn>
    <tableColumn id="195" xr3:uid="{1571909B-2BE6-426C-9FC4-9364CE9581F2}" name="NonBinary" dataDxfId="26">
      <calculatedColumnFormula>IF(AND(Table1[[#This Row],[YearFlag]]=1,Table1[[#This Row],[Non-Binary/Non-Conforming]]=Lists!$E$2),1,0)</calculatedColumnFormula>
    </tableColumn>
    <tableColumn id="196" xr3:uid="{AB7CBEEC-CA87-4F25-B977-1D0E40FCB2B8}" name="TwoSpirit" dataDxfId="25">
      <calculatedColumnFormula>IF(AND(Table1[[#This Row],[YearFlag]]=1,Table1[[#This Row],[Two-Spirit]]=Lists!$E$2),1,0)</calculatedColumnFormula>
    </tableColumn>
    <tableColumn id="197" xr3:uid="{5040B5F3-3DCD-4569-95B7-C9AA85B98BDD}" name="OtherGender" dataDxfId="24">
      <calculatedColumnFormula>IF(AND(Table1[[#This Row],[YearFlag]]=1,Table1[[#This Row],[Other Gender]]=Lists!$E$2),1,0)</calculatedColumnFormula>
    </tableColumn>
    <tableColumn id="88" xr3:uid="{00000000-0010-0000-0000-000058000000}" name="UnknownGender" dataDxfId="23">
      <calculatedColumnFormula>IF(AND(Table1[[#This Row],[YearFlag]]=1,Table1[[#This Row],[Unknown Gender]]=Lists!$E$2),1,0)</calculatedColumnFormula>
    </tableColumn>
    <tableColumn id="89" xr3:uid="{00000000-0010-0000-0000-000059000000}" name="Age1" dataDxfId="131">
      <calculatedColumnFormula>IF(AND(Table1[[#This Row],[YearFlag]]=1,Table1[[#This Row],[Age]]=Lists!$C$7),1,0)</calculatedColumnFormula>
    </tableColumn>
    <tableColumn id="90" xr3:uid="{00000000-0010-0000-0000-00005A000000}" name="Age2" dataDxfId="130">
      <calculatedColumnFormula>IF(AND(Table1[[#This Row],[YearFlag]]=1,Table1[[#This Row],[Age]]=Lists!$C$8),1,0)</calculatedColumnFormula>
    </tableColumn>
    <tableColumn id="91" xr3:uid="{00000000-0010-0000-0000-00005B000000}" name="Age3" dataDxfId="129">
      <calculatedColumnFormula>IF(AND(Table1[[#This Row],[YearFlag]]=1,Table1[[#This Row],[Age]]=Lists!$C$9),1,0)</calculatedColumnFormula>
    </tableColumn>
    <tableColumn id="92" xr3:uid="{00000000-0010-0000-0000-00005C000000}" name="Age4" dataDxfId="128">
      <calculatedColumnFormula>IF(AND(Table1[[#This Row],[YearFlag]]=1,Table1[[#This Row],[Age]]=Lists!$C$10),1,0)</calculatedColumnFormula>
    </tableColumn>
    <tableColumn id="93" xr3:uid="{00000000-0010-0000-0000-00005D000000}" name="UnknownAge" dataDxfId="127">
      <calculatedColumnFormula>IF(AND(Table1[[#This Row],[YearFlag]]=1,Table1[[#This Row],[Age]]=Lists!$C$11),1,0)</calculatedColumnFormula>
    </tableColumn>
    <tableColumn id="94" xr3:uid="{00000000-0010-0000-0000-00005E000000}" name="AIAN" dataDxfId="126">
      <calculatedColumnFormula>IF(AND(Table1[[#This Row],[YearFlag]]=1,Table1[[#This Row],[American Indian/ Alaska Native]]=Lists!$E$2),1,0)</calculatedColumnFormula>
    </tableColumn>
    <tableColumn id="95" xr3:uid="{00000000-0010-0000-0000-00005F000000}" name="Asian2" dataDxfId="125">
      <calculatedColumnFormula>IF(AND(Table1[[#This Row],[YearFlag]]=1,Table1[[#This Row],[Asian]]=Lists!$E$2),1,0)</calculatedColumnFormula>
    </tableColumn>
    <tableColumn id="96" xr3:uid="{00000000-0010-0000-0000-000060000000}" name="Black" dataDxfId="124">
      <calculatedColumnFormula>IF(AND(Table1[[#This Row],[YearFlag]]=1,Table1[[#This Row],[Black/African American]]=Lists!$E$2),1,0)</calculatedColumnFormula>
    </tableColumn>
    <tableColumn id="97" xr3:uid="{00000000-0010-0000-0000-000061000000}" name="Hispanic" dataDxfId="123">
      <calculatedColumnFormula>IF(AND(Table1[[#This Row],[YearFlag]]=1,Table1[[#This Row],[Hispanic/Latino/ Spanish Origin]]=Lists!$E$2),1,0)</calculatedColumnFormula>
    </tableColumn>
    <tableColumn id="190" xr3:uid="{DAA34C7A-97C5-42F9-A215-2755B7B7AAB8}" name="MENA" dataDxfId="33">
      <calculatedColumnFormula>IF(AND(Table1[[#This Row],[YearFlag]]=1,Table1[[#This Row],[Middle Eastern or North African]]=Lists!$E$2),1,0)</calculatedColumnFormula>
    </tableColumn>
    <tableColumn id="98" xr3:uid="{00000000-0010-0000-0000-000062000000}" name="PI" dataDxfId="122">
      <calculatedColumnFormula>IF(AND(Table1[[#This Row],[YearFlag]]=1,Table1[[#This Row],[Native Hawaiian/ Other Pacific Islander]]=Lists!$E$2),1,0)</calculatedColumnFormula>
    </tableColumn>
    <tableColumn id="99" xr3:uid="{00000000-0010-0000-0000-000063000000}" name="White2" dataDxfId="121">
      <calculatedColumnFormula>IF(AND(Table1[[#This Row],[YearFlag]]=1,Table1[[#This Row],[White]]=Lists!$E$2),1,0)</calculatedColumnFormula>
    </tableColumn>
    <tableColumn id="100" xr3:uid="{00000000-0010-0000-0000-000064000000}" name="OtherRace" dataDxfId="120">
      <calculatedColumnFormula>IF(AND(Table1[[#This Row],[YearFlag]]=1,Table1[[#This Row],[Other race/ ethnicity/origin]]=Lists!$E$2),1,0)</calculatedColumnFormula>
    </tableColumn>
    <tableColumn id="101" xr3:uid="{00000000-0010-0000-0000-000065000000}" name="UnknownRace" dataDxfId="119">
      <calculatedColumnFormula>IF(AND(Table1[[#This Row],[YearFlag]]=1,Table1[[#This Row],[Unknown race/ethnicity]]=Lists!$E$2),1,0)</calculatedColumnFormula>
    </tableColumn>
    <tableColumn id="102" xr3:uid="{00000000-0010-0000-0000-000066000000}" name="LGBTQ2" dataDxfId="118">
      <calculatedColumnFormula>IF(AND(Table1[[#This Row],[YearFlag]]=1,Table1[[#This Row],[LGBTQ]]=Lists!$E$2),1,0)</calculatedColumnFormula>
    </tableColumn>
    <tableColumn id="103" xr3:uid="{00000000-0010-0000-0000-000067000000}" name="Disabled" dataDxfId="117">
      <calculatedColumnFormula>IF(AND(Table1[[#This Row],[YearFlag]]=1,Table1[[#This Row],[Has disability]]=Lists!$E$2),1,0)</calculatedColumnFormula>
    </tableColumn>
    <tableColumn id="104" xr3:uid="{00000000-0010-0000-0000-000068000000}" name="LEP" dataDxfId="116">
      <calculatedColumnFormula>IF(AND(Table1[[#This Row],[YearFlag]]=1,Table1[[#This Row],[Primary language not English]]=Lists!$E$2),1,0)</calculatedColumnFormula>
    </tableColumn>
    <tableColumn id="105" xr3:uid="{00000000-0010-0000-0000-000069000000}" name="Deaf" dataDxfId="115">
      <calculatedColumnFormula>IF(AND(Table1[[#This Row],[YearFlag]]=1,Table1[[#This Row],[D/deaf or hard of hearing]]=Lists!$E$2),1,0)</calculatedColumnFormula>
    </tableColumn>
    <tableColumn id="106" xr3:uid="{00000000-0010-0000-0000-00006A000000}" name="Immigrant" dataDxfId="114">
      <calculatedColumnFormula>IF(AND(Table1[[#This Row],[YearFlag]]=1,Table1[[#This Row],[Immigrant/refugee/ asylum seeker]]=Lists!$E$2),1,0)</calculatedColumnFormula>
    </tableColumn>
    <tableColumn id="107" xr3:uid="{00000000-0010-0000-0000-00006B000000}" name="Correction" dataDxfId="113">
      <calculatedColumnFormula>IF(AND(Table1[[#This Row],[YearFlag]]=1,Table1[[#This Row],[Are/were incarcerated]]=Lists!$E$2),1,0)</calculatedColumnFormula>
    </tableColumn>
    <tableColumn id="108" xr3:uid="{00000000-0010-0000-0000-00006C000000}" name="Rural" dataDxfId="112">
      <calculatedColumnFormula>IF(AND(Table1[[#This Row],[YearFlag]]=1,Table1[[#This Row],[Live in rural area]]=Lists!$E$2),1,0)</calculatedColumnFormula>
    </tableColumn>
    <tableColumn id="110" xr3:uid="{00000000-0010-0000-0000-00006E000000}" name="CountPrimarySAq" dataDxfId="111">
      <calculatedColumnFormula>IF(AND(Table1[[#This Row],[Qflag]]=1,Table1[[#This Row],[Presenting Victimization]]=Lists!$A$2),1,0)</calculatedColumnFormula>
    </tableColumn>
    <tableColumn id="111" xr3:uid="{00000000-0010-0000-0000-00006F000000}" name="CountPrimaryDVq" dataDxfId="110">
      <calculatedColumnFormula>IF(AND(Table1[[#This Row],[Qflag]]=1,Table1[[#This Row],[Presenting Victimization]]=Lists!$A$3),1,0)</calculatedColumnFormula>
    </tableColumn>
    <tableColumn id="112" xr3:uid="{00000000-0010-0000-0000-000070000000}" name="CountPrimarySTq" dataDxfId="109">
      <calculatedColumnFormula>IF(AND(Table1[[#This Row],[Qflag]]=1,Table1[[#This Row],[Presenting Victimization]]=Lists!$A$4),1,0)</calculatedColumnFormula>
    </tableColumn>
    <tableColumn id="177" xr3:uid="{D481F1C4-35CD-4AA0-A17B-7FC8F366B80E}" name="CountPrimaryFGMq" dataDxfId="60">
      <calculatedColumnFormula>IF(AND(Table1[[#This Row],[Qflag]]=1,Table1[[#This Row],[Presenting Victimization]]=Lists!$A$5),1,0)</calculatedColumnFormula>
    </tableColumn>
    <tableColumn id="209" xr3:uid="{11B95217-C2D8-4C91-AE4B-43D9CDE319F2}" name="CountSecondaryq" dataDxfId="7">
      <calculatedColumnFormula>IF(AND(Table1[[#This Row],[Qflag]]=1,SUM(Table1[[#This Row],[AddSA]:[AddFM]])&gt;0),1,0)</calculatedColumnFormula>
    </tableColumn>
    <tableColumn id="113" xr3:uid="{00000000-0010-0000-0000-000071000000}" name="ConflictCountq" dataDxfId="108">
      <calculatedColumnFormula>IF(AND(Table1[[#This Row],[Qflag]]=1,Table1[[#This Row],[Conflict of interest]]=Lists!$E$2),1,0)</calculatedColumnFormula>
    </tableColumn>
    <tableColumn id="114" xr3:uid="{00000000-0010-0000-0000-000072000000}" name="StatuteCountq" dataDxfId="107">
      <calculatedColumnFormula>IF(AND(Table1[[#This Row],[Qflag]]=1,Table1[[#This Row],[Did not meet statutory requirements]]=Lists!$E$2),1,0)</calculatedColumnFormula>
    </tableColumn>
    <tableColumn id="115" xr3:uid="{00000000-0010-0000-0000-000073000000}" name="HoursCountq" dataDxfId="106">
      <calculatedColumnFormula>IF(AND(Table1[[#This Row],[Qflag]]=1,Table1[[#This Row],[Hours of operation]]=Lists!$E$2),1,0)</calculatedColumnFormula>
    </tableColumn>
    <tableColumn id="116" xr3:uid="{00000000-0010-0000-0000-000074000000}" name="CulturalCountq" dataDxfId="105">
      <calculatedColumnFormula>IF(AND(Table1[[#This Row],[Qflag]]=1,Table1[[#This Row],[Insufficient or lack of culturally appropriate services]]=Lists!$E$2),1,0)</calculatedColumnFormula>
    </tableColumn>
    <tableColumn id="117" xr3:uid="{00000000-0010-0000-0000-000075000000}" name="LanguageCountq" dataDxfId="104">
      <calculatedColumnFormula>IF(AND(Table1[[#This Row],[Qflag]]=1,Table1[[#This Row],[Insufficient or lack of agency capacity to provide language access (including sign language or assistive communication devices)]]=Lists!$E$2),1,0)</calculatedColumnFormula>
    </tableColumn>
    <tableColumn id="118" xr3:uid="{00000000-0010-0000-0000-000076000000}" name="DisabilitiesCountq" dataDxfId="103">
      <calculatedColumnFormula>IF(AND(Table1[[#This Row],[Qflag]]=1,Table1[[#This Row],[Insufficient or lack of services for people with disabilities]]=Lists!$E$2),1,0)</calculatedColumnFormula>
    </tableColumn>
    <tableColumn id="194" xr3:uid="{A6552AF6-BCBD-4D83-96B5-BA0DB5CF321B}" name="DeafCountq" dataDxfId="30">
      <calculatedColumnFormula>IF(AND(Table1[[#This Row],[Qflag]]=1,Table1[[#This Row],[Insufficient or lack of services for people who are D/deaf or hard of hearing]]=Lists!$E$2),1,0)</calculatedColumnFormula>
    </tableColumn>
    <tableColumn id="119" xr3:uid="{00000000-0010-0000-0000-000077000000}" name="ChildcareCountq" dataDxfId="102">
      <calculatedColumnFormula>IF(AND(Table1[[#This Row],[Qflag]]=1,Table1[[#This Row],[Lack of childcare]]=Lists!$E$2),1,0)</calculatedColumnFormula>
    </tableColumn>
    <tableColumn id="120" xr3:uid="{00000000-0010-0000-0000-000078000000}" name="CapacityCountq" dataDxfId="101">
      <calculatedColumnFormula>IF(AND(Table1[[#This Row],[Qflag]]=1,Table1[[#This Row],[Program reached capacity]]=Lists!$E$2),1,0)</calculatedColumnFormula>
    </tableColumn>
    <tableColumn id="121" xr3:uid="{00000000-0010-0000-0000-000079000000}" name="RulesCountq" dataDxfId="100">
      <calculatedColumnFormula>IF(AND(Table1[[#This Row],[Qflag]]=1,Table1[[#This Row],[Program rules not acceptable to vicitm/survivor]]=Lists!$E$2),1,0)</calculatedColumnFormula>
    </tableColumn>
    <tableColumn id="122" xr3:uid="{00000000-0010-0000-0000-00007A000000}" name="ResourcesCountq" dataDxfId="99">
      <calculatedColumnFormula>IF(AND(Table1[[#This Row],[Qflag]]=1,Table1[[#This Row],[Program unable to provide service due to limited resources/priority-setting]]=Lists!$E$2),1,0)</calculatedColumnFormula>
    </tableColumn>
    <tableColumn id="123" xr3:uid="{00000000-0010-0000-0000-00007B000000}" name="MHCountq" dataDxfId="98">
      <calculatedColumnFormula>IF(AND(Table1[[#This Row],[Qflag]]=1,Table1[[#This Row],[Services inappropriate or inadequate for vicitms/survivors with mental health issues]]=Lists!$E$2),1,0)</calculatedColumnFormula>
    </tableColumn>
    <tableColumn id="124" xr3:uid="{00000000-0010-0000-0000-00007C000000}" name="SACountq" dataDxfId="97">
      <calculatedColumnFormula>IF(AND(Table1[[#This Row],[Qflag]]=1,Table1[[#This Row],[Services inappropriate or inadequate for vicitms/survivors with substance abuse issues]]=Lists!$E$2),1,0)</calculatedColumnFormula>
    </tableColumn>
    <tableColumn id="125" xr3:uid="{00000000-0010-0000-0000-00007D000000}" name="NACountq" dataDxfId="96">
      <calculatedColumnFormula>IF(AND(Table1[[#This Row],[Qflag]]=1,Table1[[#This Row],[Services not appropriate for victim/survivor]]=Lists!$E$2),1,0)</calculatedColumnFormula>
    </tableColumn>
    <tableColumn id="126" xr3:uid="{00000000-0010-0000-0000-00007E000000}" name="MaleCountq" dataDxfId="95">
      <calculatedColumnFormula>IF(AND(Table1[[#This Row],[Qflag]]=1,Table1[[#This Row],[Services not available for victim/survivors accompanied by male adolescents]]=Lists!$E$2),1,0)</calculatedColumnFormula>
    </tableColumn>
    <tableColumn id="127" xr3:uid="{00000000-0010-0000-0000-00007F000000}" name="TransportationCountq" dataDxfId="94">
      <calculatedColumnFormula>IF(AND(Table1[[#This Row],[Qflag]]=1,Table1[[#This Row],[Transportation]]=Lists!$E$2),1,0)</calculatedColumnFormula>
    </tableColumn>
    <tableColumn id="128" xr3:uid="{00000000-0010-0000-0000-000080000000}" name="OtherCountq" dataDxfId="93">
      <calculatedColumnFormula>IF(AND(Table1[[#This Row],[Qflag]]=1,Table1[[#This Row],[Other]]=Lists!$E$2),1,0)</calculatedColumnFormula>
    </tableColumn>
    <tableColumn id="129" xr3:uid="{00000000-0010-0000-0000-000081000000}" name="PartialCountq" dataDxfId="92">
      <calculatedColumnFormula>SUM(Table1[[#This Row],[ConflictCountq]:[OtherCountq]])</calculatedColumnFormula>
    </tableColumn>
    <tableColumn id="130" xr3:uid="{00000000-0010-0000-0000-000082000000}" name="ServedSAq" dataDxfId="91">
      <calculatedColumnFormula>IF(AND(Table1[[#This Row],[CountPrimarySAq]]&gt;0,Table1[[#This Row],[PartialCountq]]=0),1,0)</calculatedColumnFormula>
    </tableColumn>
    <tableColumn id="131" xr3:uid="{00000000-0010-0000-0000-000083000000}" name="ServedDVq" dataDxfId="90">
      <calculatedColumnFormula>IF(AND(Table1[[#This Row],[CountPrimaryDVq]]&gt;0,Table1[[#This Row],[PartialCountq]]=0),1,0)</calculatedColumnFormula>
    </tableColumn>
    <tableColumn id="132" xr3:uid="{00000000-0010-0000-0000-000084000000}" name="ServedSTq" dataDxfId="89">
      <calculatedColumnFormula>IF(AND(Table1[[#This Row],[CountPrimarySTq]]&gt;0,Table1[[#This Row],[PartialCountq]]=0),1,0)</calculatedColumnFormula>
    </tableColumn>
    <tableColumn id="178" xr3:uid="{BEE50634-DB0D-4F08-A1FE-1DEFB518A24A}" name="ServedFGMq" dataDxfId="59">
      <calculatedColumnFormula>IF(AND(Table1[[#This Row],[CountPrimaryFGMq]]&gt;0,Table1[[#This Row],[PartialCountq]]=0),1,0)</calculatedColumnFormula>
    </tableColumn>
    <tableColumn id="133" xr3:uid="{00000000-0010-0000-0000-000085000000}" name="PartialSAq" dataDxfId="88">
      <calculatedColumnFormula>IF(AND(Table1[[#This Row],[CountPrimarySAq]]&gt;0,Table1[[#This Row],[PartialCountq]]&gt;0),1,0)</calculatedColumnFormula>
    </tableColumn>
    <tableColumn id="134" xr3:uid="{00000000-0010-0000-0000-000086000000}" name="PartialDVq" dataDxfId="87">
      <calculatedColumnFormula>IF(AND(Table1[[#This Row],[CountPrimaryDVq]]&gt;0,Table1[[#This Row],[PartialCountq]]&gt;0),1,0)</calculatedColumnFormula>
    </tableColumn>
    <tableColumn id="135" xr3:uid="{00000000-0010-0000-0000-000087000000}" name="PartialSTq" dataDxfId="86">
      <calculatedColumnFormula>IF(AND(Table1[[#This Row],[CountPrimarySTq]]&gt;0,Table1[[#This Row],[PartialCountq]]&gt;0),1,0)</calculatedColumnFormula>
    </tableColumn>
    <tableColumn id="180" xr3:uid="{7F45B757-B563-4A53-93CF-6C07DA055A8E}" name="PartialFGMq" dataDxfId="57">
      <calculatedColumnFormula>IF(AND(Table1[[#This Row],[CountPrimaryFGMq]]&gt;0,Table1[[#This Row],[PartialCountq]]&gt;0),1,0)</calculatedColumnFormula>
    </tableColumn>
    <tableColumn id="136" xr3:uid="{00000000-0010-0000-0000-000088000000}" name="NewSAq" dataDxfId="85">
      <calculatedColumnFormula>IF(AND(Table1[[#This Row],[CountPrimarySAq]]=1,Table1[[#This Row],[QFirst]]=1),1,0)</calculatedColumnFormula>
    </tableColumn>
    <tableColumn id="137" xr3:uid="{00000000-0010-0000-0000-000089000000}" name="NewDVq" dataDxfId="84">
      <calculatedColumnFormula>IF(AND(Table1[[#This Row],[CountPrimaryDVq]]=1,Table1[[#This Row],[QFirst]]=1),1,0)</calculatedColumnFormula>
    </tableColumn>
    <tableColumn id="138" xr3:uid="{00000000-0010-0000-0000-00008A000000}" name="NewSTq" dataDxfId="83">
      <calculatedColumnFormula>IF(AND(Table1[[#This Row],[CountPrimarySTq]]=1,Table1[[#This Row],[QFirst]]=1),1,0)</calculatedColumnFormula>
    </tableColumn>
    <tableColumn id="139" xr3:uid="{00000000-0010-0000-0000-00008B000000}" name="AddSAq" dataDxfId="45">
      <calculatedColumnFormula>IF(AND(Table1[[#This Row],[Qflag]]=1,Table1[[#This Row],[Sexual Assault]]=Lists!$E$2),1,0)</calculatedColumnFormula>
    </tableColumn>
    <tableColumn id="140" xr3:uid="{00000000-0010-0000-0000-00008C000000}" name="AddDVq" dataDxfId="44">
      <calculatedColumnFormula>IF(AND(Table1[[#This Row],[Qflag]]=1,Table1[[#This Row],[Domestic violence/ dating violence]]=Lists!$E$2),1,0)</calculatedColumnFormula>
    </tableColumn>
    <tableColumn id="141" xr3:uid="{00000000-0010-0000-0000-00008D000000}" name="AddStalkq" dataDxfId="43">
      <calculatedColumnFormula>IF(AND(Table1[[#This Row],[Qflag]]=1,Table1[[#This Row],[Stalking]]=Lists!$E$2),1,0)</calculatedColumnFormula>
    </tableColumn>
    <tableColumn id="142" xr3:uid="{00000000-0010-0000-0000-00008E000000}" name="AddFGMq" dataDxfId="42">
      <calculatedColumnFormula>IF(AND(Table1[[#This Row],[Qflag]]=1,Table1[[#This Row],[Female Genital Mutilation/Cutting]]=Lists!$E$2),1,0)</calculatedColumnFormula>
    </tableColumn>
    <tableColumn id="143" xr3:uid="{00000000-0010-0000-0000-00008F000000}" name="AddCSAq" dataDxfId="41">
      <calculatedColumnFormula>IF(AND(Table1[[#This Row],[Qflag]]=1,Table1[[#This Row],[Adult Survivor of Child Sexual Abuse]]=Lists!$E$2),1,0)</calculatedColumnFormula>
    </tableColumn>
    <tableColumn id="144" xr3:uid="{00000000-0010-0000-0000-000090000000}" name="AddSexTq" dataDxfId="40">
      <calculatedColumnFormula>IF(AND(Table1[[#This Row],[Qflag]]=1,Table1[[#This Row],[Sex Trafficking]]=Lists!$E$2),1,0)</calculatedColumnFormula>
    </tableColumn>
    <tableColumn id="145" xr3:uid="{00000000-0010-0000-0000-000091000000}" name="AddLaborTq" dataDxfId="39">
      <calculatedColumnFormula>IF(AND(Table1[[#This Row],[Qflag]]=1,Table1[[#This Row],[Labor Trafficking]]=Lists!$E$2),1,0)</calculatedColumnFormula>
    </tableColumn>
    <tableColumn id="146" xr3:uid="{00000000-0010-0000-0000-000092000000}" name="AddEconq" dataDxfId="38">
      <calculatedColumnFormula>IF(AND(Table1[[#This Row],[Qflag]]=1,Table1[[#This Row],[Economic Abuse]]=Lists!$E$2),1,0)</calculatedColumnFormula>
    </tableColumn>
    <tableColumn id="147" xr3:uid="{00000000-0010-0000-0000-000093000000}" name="AddTechq" dataDxfId="37">
      <calculatedColumnFormula>IF(AND(Table1[[#This Row],[Qflag]]=1,Table1[[#This Row],[Technological Abuse]]=Lists!$E$2),1,0)</calculatedColumnFormula>
    </tableColumn>
    <tableColumn id="187" xr3:uid="{18CEC671-8119-44A6-B2CC-ACBA68134029}" name="AddFMq" dataDxfId="36">
      <calculatedColumnFormula>IF(AND(Table1[[#This Row],[Qflag]]=1,Table1[[#This Row],[Forced Marriage]]=Lists!$E$2),1,0)</calculatedColumnFormula>
    </tableColumn>
    <tableColumn id="148" xr3:uid="{00000000-0010-0000-0000-000094000000}" name="Femaleq" dataDxfId="22">
      <calculatedColumnFormula>IF(AND(Table1[[#This Row],[Qflag]]=1,Table1[[#This Row],[Female]]=Lists!$E$2),1,0)</calculatedColumnFormula>
    </tableColumn>
    <tableColumn id="149" xr3:uid="{00000000-0010-0000-0000-000095000000}" name="Maleq" dataDxfId="21">
      <calculatedColumnFormula>IF(AND(Table1[[#This Row],[Qflag]]=1,Table1[[#This Row],[Male]]=Lists!$E$2),1,0)</calculatedColumnFormula>
    </tableColumn>
    <tableColumn id="150" xr3:uid="{00000000-0010-0000-0000-000096000000}" name="Transgenderq" dataDxfId="20">
      <calculatedColumnFormula>IF(AND(Table1[[#This Row],[Qflag]]=1,Table1[[#This Row],[Transgender]]=Lists!$E$2),1,0)</calculatedColumnFormula>
    </tableColumn>
    <tableColumn id="198" xr3:uid="{0DE2D9A9-1B24-4F88-A80D-E4EDE0C135C2}" name="NonBinaryq" dataDxfId="19">
      <calculatedColumnFormula>IF(AND(Table1[[#This Row],[Qflag]]=1,Table1[[#This Row],[Non-Binary/Non-Conforming]]=Lists!$E$2),1,0)</calculatedColumnFormula>
    </tableColumn>
    <tableColumn id="199" xr3:uid="{B0728DC0-18BC-4DE5-8130-A943708AB169}" name="TwoSpiritq" dataDxfId="18">
      <calculatedColumnFormula>IF(AND(Table1[[#This Row],[Qflag]]=1,Table1[[#This Row],[Two-Spirit]]=Lists!$E$2),1,0)</calculatedColumnFormula>
    </tableColumn>
    <tableColumn id="200" xr3:uid="{FA5BD5B0-053C-439E-A1AE-D0AB57D6245F}" name="OtherGenderq" dataDxfId="17">
      <calculatedColumnFormula>IF(AND(Table1[[#This Row],[Qflag]]=1,Table1[[#This Row],[Other Gender]]=Lists!$E$2),1,0)</calculatedColumnFormula>
    </tableColumn>
    <tableColumn id="151" xr3:uid="{00000000-0010-0000-0000-000097000000}" name="UnknownGenderq" dataDxfId="16">
      <calculatedColumnFormula>IF(AND(Table1[[#This Row],[Qflag]]=1,Table1[[#This Row],[Unknown Gender]]=Lists!$E$2),1,0)</calculatedColumnFormula>
    </tableColumn>
    <tableColumn id="152" xr3:uid="{00000000-0010-0000-0000-000098000000}" name="Age1q" dataDxfId="82">
      <calculatedColumnFormula>IF(AND(Table1[[#This Row],[Qflag]]=1,Table1[[#This Row],[Age]]=Lists!$C$7),1,0)</calculatedColumnFormula>
    </tableColumn>
    <tableColumn id="153" xr3:uid="{00000000-0010-0000-0000-000099000000}" name="Age2q" dataDxfId="81">
      <calculatedColumnFormula>IF(AND(Table1[[#This Row],[Qflag]]=1,Table1[[#This Row],[Age]]=Lists!$C$8),1,0)</calculatedColumnFormula>
    </tableColumn>
    <tableColumn id="154" xr3:uid="{00000000-0010-0000-0000-00009A000000}" name="Age3q" dataDxfId="80">
      <calculatedColumnFormula>IF(AND(Table1[[#This Row],[Qflag]]=1,Table1[[#This Row],[Age]]=Lists!$C$9),1,0)</calculatedColumnFormula>
    </tableColumn>
    <tableColumn id="155" xr3:uid="{00000000-0010-0000-0000-00009B000000}" name="Age4q" dataDxfId="79">
      <calculatedColumnFormula>IF(AND(Table1[[#This Row],[Qflag]]=1,Table1[[#This Row],[Age]]=Lists!$C$10),1,0)</calculatedColumnFormula>
    </tableColumn>
    <tableColumn id="156" xr3:uid="{00000000-0010-0000-0000-00009C000000}" name="UnknownAgeq" dataDxfId="78">
      <calculatedColumnFormula>IF(AND(Table1[[#This Row],[Qflag]]=1,Table1[[#This Row],[Age]]=Lists!$C$11),1,0)</calculatedColumnFormula>
    </tableColumn>
    <tableColumn id="157" xr3:uid="{00000000-0010-0000-0000-00009D000000}" name="AIANq" dataDxfId="77">
      <calculatedColumnFormula>IF(AND(Table1[[#This Row],[Qflag]]=1,Table1[[#This Row],[American Indian/ Alaska Native]]=Lists!$E$2),1,0)</calculatedColumnFormula>
    </tableColumn>
    <tableColumn id="158" xr3:uid="{00000000-0010-0000-0000-00009E000000}" name="Asian2q" dataDxfId="76">
      <calculatedColumnFormula>IF(AND(Table1[[#This Row],[Qflag]]=1,Table1[[#This Row],[Asian]]=Lists!$E$2),1,0)</calculatedColumnFormula>
    </tableColumn>
    <tableColumn id="159" xr3:uid="{00000000-0010-0000-0000-00009F000000}" name="Blackq" dataDxfId="75">
      <calculatedColumnFormula>IF(AND(Table1[[#This Row],[Qflag]]=1,Table1[[#This Row],[Black/African American]]=Lists!$E$2),1,0)</calculatedColumnFormula>
    </tableColumn>
    <tableColumn id="160" xr3:uid="{00000000-0010-0000-0000-0000A0000000}" name="Hispanicq" dataDxfId="74">
      <calculatedColumnFormula>IF(AND(Table1[[#This Row],[Qflag]]=1,Table1[[#This Row],[Hispanic/Latino/ Spanish Origin]]=Lists!$E$2),1,0)</calculatedColumnFormula>
    </tableColumn>
    <tableColumn id="191" xr3:uid="{D859F54F-67A8-4028-826A-8BA3C6EB6D6C}" name="MENAq" dataDxfId="32">
      <calculatedColumnFormula>IF(AND(Table1[[#This Row],[Qflag]]=1,Table1[[#This Row],[Middle Eastern or North African]]=Lists!$E$2),1,0)</calculatedColumnFormula>
    </tableColumn>
    <tableColumn id="161" xr3:uid="{00000000-0010-0000-0000-0000A1000000}" name="Piq" dataDxfId="73">
      <calculatedColumnFormula>IF(AND(Table1[[#This Row],[Qflag]]=1,Table1[[#This Row],[Native Hawaiian/ Other Pacific Islander]]=Lists!$E$2),1,0)</calculatedColumnFormula>
    </tableColumn>
    <tableColumn id="162" xr3:uid="{00000000-0010-0000-0000-0000A2000000}" name="White2q" dataDxfId="72">
      <calculatedColumnFormula>IF(AND(Table1[[#This Row],[Qflag]]=1,Table1[[#This Row],[White]]=Lists!$E$2),1,0)</calculatedColumnFormula>
    </tableColumn>
    <tableColumn id="163" xr3:uid="{00000000-0010-0000-0000-0000A3000000}" name="OtherRaceq" dataDxfId="71">
      <calculatedColumnFormula>IF(AND(Table1[[#This Row],[Qflag]]=1,Table1[[#This Row],[Other race/ ethnicity/origin]]=Lists!$E$2),1,0)</calculatedColumnFormula>
    </tableColumn>
    <tableColumn id="164" xr3:uid="{00000000-0010-0000-0000-0000A4000000}" name="UnknownRaceq" dataDxfId="70">
      <calculatedColumnFormula>IF(AND(Table1[[#This Row],[Qflag]]=1,Table1[[#This Row],[Unknown race/ethnicity]]=Lists!$E$2),1,0)</calculatedColumnFormula>
    </tableColumn>
    <tableColumn id="165" xr3:uid="{00000000-0010-0000-0000-0000A5000000}" name="LGBTQ2q" dataDxfId="69">
      <calculatedColumnFormula>IF(AND(Table1[[#This Row],[Qflag]]=1,Table1[[#This Row],[LGBTQ]]=Lists!$E$2),1,0)</calculatedColumnFormula>
    </tableColumn>
    <tableColumn id="166" xr3:uid="{00000000-0010-0000-0000-0000A6000000}" name="Disabledq" dataDxfId="68">
      <calculatedColumnFormula>IF(AND(Table1[[#This Row],[Qflag]]=1,Table1[[#This Row],[Has disability]]=Lists!$E$2),1,0)</calculatedColumnFormula>
    </tableColumn>
    <tableColumn id="167" xr3:uid="{00000000-0010-0000-0000-0000A7000000}" name="LEPq" dataDxfId="67">
      <calculatedColumnFormula>IF(AND(Table1[[#This Row],[Qflag]]=1,Table1[[#This Row],[Primary language not English]]=Lists!$E$2),1,0)</calculatedColumnFormula>
    </tableColumn>
    <tableColumn id="168" xr3:uid="{00000000-0010-0000-0000-0000A8000000}" name="Deafq" dataDxfId="66">
      <calculatedColumnFormula>IF(AND(Table1[[#This Row],[Qflag]]=1,Table1[[#This Row],[D/deaf or hard of hearing]]=Lists!$E$2),1,0)</calculatedColumnFormula>
    </tableColumn>
    <tableColumn id="169" xr3:uid="{00000000-0010-0000-0000-0000A9000000}" name="Immigrantq" dataDxfId="65">
      <calculatedColumnFormula>IF(AND(Table1[[#This Row],[Qflag]]=1,Table1[[#This Row],[Immigrant/refugee/ asylum seeker]]=Lists!$E$2),1,0)</calculatedColumnFormula>
    </tableColumn>
    <tableColumn id="170" xr3:uid="{00000000-0010-0000-0000-0000AA000000}" name="Correctionq" dataDxfId="64">
      <calculatedColumnFormula>IF(AND(Table1[[#This Row],[Qflag]]=1,Table1[[#This Row],[Are/were incarcerated]]=Lists!$E$2),1,0)</calculatedColumnFormula>
    </tableColumn>
    <tableColumn id="171" xr3:uid="{00000000-0010-0000-0000-0000AB000000}" name="Ruralq" dataDxfId="63">
      <calculatedColumnFormula>IF(AND(Table1[[#This Row],[Qflag]]=1,Table1[[#This Row],[Live in rural area]]=Lists!$E$2),1,0)</calculatedColumnFormula>
    </tableColumn>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le8" displayName="Table8" ref="A2:BM3" totalsRowShown="0" headerRowDxfId="328">
  <tableColumns count="65">
    <tableColumn id="1" xr3:uid="{00000000-0010-0000-0100-000001000000}" name="Name"/>
    <tableColumn id="19" xr3:uid="{00000000-0010-0000-0100-000013000000}" name="Date" dataDxfId="327"/>
    <tableColumn id="38" xr3:uid="{00000000-0010-0000-0100-000026000000}" name="Presenting Victimization" dataDxfId="326"/>
    <tableColumn id="2" xr3:uid="{00000000-0010-0000-0100-000002000000}" name="Conflict of interest"/>
    <tableColumn id="3" xr3:uid="{00000000-0010-0000-0100-000003000000}" name="Did not meet statutory requirements"/>
    <tableColumn id="4" xr3:uid="{00000000-0010-0000-0100-000004000000}" name="Hours of operation"/>
    <tableColumn id="5" xr3:uid="{00000000-0010-0000-0100-000005000000}" name="Insufficient or lack of culturally appropriate services"/>
    <tableColumn id="6" xr3:uid="{00000000-0010-0000-0100-000006000000}" name="Insufficient or lack of language capacity (including sign language)"/>
    <tableColumn id="7" xr3:uid="{00000000-0010-0000-0100-000007000000}" name="Insufficient or lack of services for people with disabilities"/>
    <tableColumn id="62" xr3:uid="{934CABC6-BCF1-4DD0-828E-D400F89A6557}" name="Insufficient or lack of services for people who are D/deaf or hard of hearing"/>
    <tableColumn id="8" xr3:uid="{00000000-0010-0000-0100-000008000000}" name="Lack of childcare"/>
    <tableColumn id="9" xr3:uid="{00000000-0010-0000-0100-000009000000}" name="Program reached capacity"/>
    <tableColumn id="10" xr3:uid="{00000000-0010-0000-0100-00000A000000}" name="Program rules not acceptable to vicitm/survivor"/>
    <tableColumn id="11" xr3:uid="{00000000-0010-0000-0100-00000B000000}" name="Program unable to provide service due to limited resources/priority-setting"/>
    <tableColumn id="12" xr3:uid="{00000000-0010-0000-0100-00000C000000}" name="Services inappropriate or inadequate for vicitms/survivors with mental health issues"/>
    <tableColumn id="13" xr3:uid="{00000000-0010-0000-0100-00000D000000}" name="Services inappropriate or inadequate for vicitms/survivors with substance abuse issues"/>
    <tableColumn id="14" xr3:uid="{00000000-0010-0000-0100-00000E000000}" name="Services not appropriate for victim/survivor"/>
    <tableColumn id="15" xr3:uid="{00000000-0010-0000-0100-00000F000000}" name="Services not available for victim/survivors accompanied by male adolescents"/>
    <tableColumn id="16" xr3:uid="{00000000-0010-0000-0100-000010000000}" name="Transportation"/>
    <tableColumn id="17" xr3:uid="{00000000-0010-0000-0100-000011000000}" name="Other"/>
    <tableColumn id="18" xr3:uid="{00000000-0010-0000-0100-000012000000}" name="If Other, please specify"/>
    <tableColumn id="20" xr3:uid="{00000000-0010-0000-0100-000014000000}" name="Year" dataDxfId="325">
      <calculatedColumnFormula>YEAR(Table8[[#This Row],[Date]])</calculatedColumnFormula>
    </tableColumn>
    <tableColumn id="37" xr3:uid="{00000000-0010-0000-0100-000025000000}" name="Quarter" dataDxfId="324">
      <calculatedColumnFormula>IF(AND(Table8[[#This Row],[Date]]&gt;='Quarterly SAPR Data'!$C$3,Table8[[#This Row],[Date]]&lt;='Quarterly SAPR Data'!$E$3),1,0)</calculatedColumnFormula>
    </tableColumn>
    <tableColumn id="21" xr3:uid="{00000000-0010-0000-0100-000015000000}" name="ConflictCount" dataDxfId="323">
      <calculatedColumnFormula>IF(AND(Table8[[#This Row],[Year]]='Annual SAPR Data'!$C$3,Table8[[#This Row],[Conflict of interest]]=Lists!$E$2),1,0)</calculatedColumnFormula>
    </tableColumn>
    <tableColumn id="22" xr3:uid="{00000000-0010-0000-0100-000016000000}" name="StatuteCount" dataDxfId="322">
      <calculatedColumnFormula>IF(AND(Table8[[#This Row],[Year]]='Annual SAPR Data'!$C$3,Table8[[#This Row],[Did not meet statutory requirements]]=Lists!$E$2),1,0)</calculatedColumnFormula>
    </tableColumn>
    <tableColumn id="23" xr3:uid="{00000000-0010-0000-0100-000017000000}" name="HoursCount" dataDxfId="321">
      <calculatedColumnFormula>IF(AND(Table8[[#This Row],[Year]]='Annual SAPR Data'!$C$3,Table8[[#This Row],[Hours of operation]]=Lists!$E$2),1,0)</calculatedColumnFormula>
    </tableColumn>
    <tableColumn id="24" xr3:uid="{00000000-0010-0000-0100-000018000000}" name="CulturalCount" dataDxfId="320">
      <calculatedColumnFormula>IF(AND(Table8[[#This Row],[Year]]='Annual SAPR Data'!$C$3,Table8[[#This Row],[Insufficient or lack of culturally appropriate services]]=Lists!$E$2),1,0)</calculatedColumnFormula>
    </tableColumn>
    <tableColumn id="25" xr3:uid="{00000000-0010-0000-0100-000019000000}" name="LanguageCount" dataDxfId="319">
      <calculatedColumnFormula>IF(AND(Table8[[#This Row],[Year]]='Annual SAPR Data'!$C$3,Table8[[#This Row],[Insufficient or lack of language capacity (including sign language)]]=Lists!$E$2),1,0)</calculatedColumnFormula>
    </tableColumn>
    <tableColumn id="26" xr3:uid="{00000000-0010-0000-0100-00001A000000}" name="DisabilitiesCount" dataDxfId="318">
      <calculatedColumnFormula>IF(AND(Table8[[#This Row],[Year]]='Annual SAPR Data'!$C$3,Table8[[#This Row],[Insufficient or lack of services for people with disabilities]]=Lists!$E$2),1,0)</calculatedColumnFormula>
    </tableColumn>
    <tableColumn id="63" xr3:uid="{EDB5CE0C-5A98-4AC5-A199-F2098DCAFB35}" name="DeafCount">
      <calculatedColumnFormula>IF(AND(Table8[[#This Row],[Year]]='Annual SAPR Data'!$C$3,Table8[[#This Row],[Insufficient or lack of services for people who are D/deaf or hard of hearing]]=Lists!$E$2),1,0)</calculatedColumnFormula>
    </tableColumn>
    <tableColumn id="27" xr3:uid="{00000000-0010-0000-0100-00001B000000}" name="ChildcareCount" dataDxfId="317">
      <calculatedColumnFormula>IF(AND(Table8[[#This Row],[Year]]='Annual SAPR Data'!$C$3,Table8[[#This Row],[Lack of childcare]]=Lists!$E$2),1,0)</calculatedColumnFormula>
    </tableColumn>
    <tableColumn id="28" xr3:uid="{00000000-0010-0000-0100-00001C000000}" name="CapacityCount" dataDxfId="316">
      <calculatedColumnFormula>IF(AND(Table8[[#This Row],[Year]]='Annual SAPR Data'!$C$3,Table8[[#This Row],[Program reached capacity]]=Lists!$E$2),1,0)</calculatedColumnFormula>
    </tableColumn>
    <tableColumn id="29" xr3:uid="{00000000-0010-0000-0100-00001D000000}" name="RulesCount" dataDxfId="315">
      <calculatedColumnFormula>IF(AND(Table8[[#This Row],[Year]]='Annual SAPR Data'!$C$3,Table8[[#This Row],[Program rules not acceptable to vicitm/survivor]]=Lists!$E$2),1,0)</calculatedColumnFormula>
    </tableColumn>
    <tableColumn id="30" xr3:uid="{00000000-0010-0000-0100-00001E000000}" name="ResourcesCount" dataDxfId="314">
      <calculatedColumnFormula>IF(AND(Table8[[#This Row],[Year]]='Annual SAPR Data'!$C$3,Table8[[#This Row],[Program unable to provide service due to limited resources/priority-setting]]=Lists!$E$2),1,0)</calculatedColumnFormula>
    </tableColumn>
    <tableColumn id="31" xr3:uid="{00000000-0010-0000-0100-00001F000000}" name="MHCount" dataDxfId="313">
      <calculatedColumnFormula>IF(AND(Table8[[#This Row],[Year]]='Annual SAPR Data'!$C$3,Table8[[#This Row],[Services inappropriate or inadequate for vicitms/survivors with mental health issues]]=Lists!$E$2),1,0)</calculatedColumnFormula>
    </tableColumn>
    <tableColumn id="32" xr3:uid="{00000000-0010-0000-0100-000020000000}" name="SACount" dataDxfId="312">
      <calculatedColumnFormula>IF(AND(Table8[[#This Row],[Year]]='Annual SAPR Data'!$C$3,Table8[[#This Row],[Services inappropriate or inadequate for vicitms/survivors with substance abuse issues]]=Lists!$E$2),1,0)</calculatedColumnFormula>
    </tableColumn>
    <tableColumn id="33" xr3:uid="{00000000-0010-0000-0100-000021000000}" name="NACount" dataDxfId="311">
      <calculatedColumnFormula>IF(AND(Table8[[#This Row],[Year]]='Annual SAPR Data'!$C$3,Table8[[#This Row],[Services not appropriate for victim/survivor]]=Lists!$E$2),1,0)</calculatedColumnFormula>
    </tableColumn>
    <tableColumn id="34" xr3:uid="{00000000-0010-0000-0100-000022000000}" name="MaleCount" dataDxfId="310">
      <calculatedColumnFormula>IF(AND(Table8[[#This Row],[Year]]='Annual SAPR Data'!$C$3,Table8[[#This Row],[Services not available for victim/survivors accompanied by male adolescents]]=Lists!$E$2),1,0)</calculatedColumnFormula>
    </tableColumn>
    <tableColumn id="35" xr3:uid="{00000000-0010-0000-0100-000023000000}" name="TransportationCount" dataDxfId="309">
      <calculatedColumnFormula>IF(AND(Table8[[#This Row],[Year]]='Annual SAPR Data'!$C$3,Table8[[#This Row],[Transportation]]=Lists!$E$2),1,0)</calculatedColumnFormula>
    </tableColumn>
    <tableColumn id="36" xr3:uid="{00000000-0010-0000-0100-000024000000}" name="OtherCount" dataDxfId="308">
      <calculatedColumnFormula>IF(AND(Table8[[#This Row],[Year]]='Annual SAPR Data'!$C$3,Table8[[#This Row],[Other]]=Lists!$E$2),1,0)</calculatedColumnFormula>
    </tableColumn>
    <tableColumn id="39" xr3:uid="{00000000-0010-0000-0100-000027000000}" name="CountSA" dataDxfId="307">
      <calculatedColumnFormula>IF(AND(Table8[[#This Row],[Year]]='Annual SAPR Data'!$C$3,Table8[[#This Row],[Presenting Victimization]]=Lists!$A$2),1,0)</calculatedColumnFormula>
    </tableColumn>
    <tableColumn id="40" xr3:uid="{00000000-0010-0000-0100-000028000000}" name="CountDV" dataDxfId="306">
      <calculatedColumnFormula>IF(AND(Table8[[#This Row],[Year]]='Annual SAPR Data'!$C$3,Table8[[#This Row],[Presenting Victimization]]=Lists!$A$3),1,0)</calculatedColumnFormula>
    </tableColumn>
    <tableColumn id="41" xr3:uid="{00000000-0010-0000-0100-000029000000}" name="CountST" dataDxfId="305">
      <calculatedColumnFormula>IF(AND(Table8[[#This Row],[Year]]='Annual SAPR Data'!$C$3,Table8[[#This Row],[Presenting Victimization]]=Lists!$A$4),1,0)</calculatedColumnFormula>
    </tableColumn>
    <tableColumn id="65" xr3:uid="{233CABBE-AC4E-4ADB-8ED9-274BD020713F}" name="CountFGM" dataDxfId="4">
      <calculatedColumnFormula>IF(AND(Table8[[#This Row],[Year]]='Annual SAPR Data'!$C$3,Table8[[#This Row],[Presenting Victimization]]=Lists!$A$5),1,0)</calculatedColumnFormula>
    </tableColumn>
    <tableColumn id="42" xr3:uid="{00000000-0010-0000-0100-00002A000000}" name="ConflictCountq" dataDxfId="304">
      <calculatedColumnFormula>IF(AND(Table8[[#This Row],[Quarter]]=1,Table8[[#This Row],[Conflict of interest]]=Lists!$E$2),1,0)</calculatedColumnFormula>
    </tableColumn>
    <tableColumn id="43" xr3:uid="{00000000-0010-0000-0100-00002B000000}" name="StatuteCountq" dataDxfId="303">
      <calculatedColumnFormula>IF(AND(Table8[[#This Row],[Quarter]]=1,Table8[[#This Row],[Did not meet statutory requirements]]=Lists!$E$2),1,0)</calculatedColumnFormula>
    </tableColumn>
    <tableColumn id="44" xr3:uid="{00000000-0010-0000-0100-00002C000000}" name="HoursCountq" dataDxfId="302">
      <calculatedColumnFormula>IF(AND(Table8[[#This Row],[Quarter]]=1,Table8[[#This Row],[Hours of operation]]=Lists!$E$2),1,0)</calculatedColumnFormula>
    </tableColumn>
    <tableColumn id="45" xr3:uid="{00000000-0010-0000-0100-00002D000000}" name="CulturalCountq" dataDxfId="301">
      <calculatedColumnFormula>IF(AND(Table8[[#This Row],[Quarter]]=1,Table8[[#This Row],[Insufficient or lack of culturally appropriate services]]=Lists!$E$2),1,0)</calculatedColumnFormula>
    </tableColumn>
    <tableColumn id="46" xr3:uid="{00000000-0010-0000-0100-00002E000000}" name="LanguageCountq" dataDxfId="300">
      <calculatedColumnFormula>IF(AND(Table8[[#This Row],[Quarter]]=1,Table8[[#This Row],[Insufficient or lack of language capacity (including sign language)]]=Lists!$E$2),1,0)</calculatedColumnFormula>
    </tableColumn>
    <tableColumn id="47" xr3:uid="{00000000-0010-0000-0100-00002F000000}" name="DisabilitiesCountq" dataDxfId="299">
      <calculatedColumnFormula>IF(AND(Table8[[#This Row],[Quarter]]=1,Table8[[#This Row],[Insufficient or lack of services for people with disabilities]]=Lists!$E$2),1,0)</calculatedColumnFormula>
    </tableColumn>
    <tableColumn id="64" xr3:uid="{AF695841-557E-4F19-B974-AA6AE187F1C9}" name="DeafCountq">
      <calculatedColumnFormula>IF(AND(Table8[[#This Row],[Quarter]]=1,Table8[[#This Row],[Insufficient or lack of services for people who are D/deaf or hard of hearing]]=Lists!$E$2),1,0)</calculatedColumnFormula>
    </tableColumn>
    <tableColumn id="48" xr3:uid="{00000000-0010-0000-0100-000030000000}" name="ChildcareCountq" dataDxfId="298">
      <calculatedColumnFormula>IF(AND(Table8[[#This Row],[Quarter]]=1,Table8[[#This Row],[Lack of childcare]]=Lists!$E$2),1,0)</calculatedColumnFormula>
    </tableColumn>
    <tableColumn id="49" xr3:uid="{00000000-0010-0000-0100-000031000000}" name="CapacityCountq" dataDxfId="297">
      <calculatedColumnFormula>IF(AND(Table8[[#This Row],[Quarter]]=1,Table8[[#This Row],[Program reached capacity]]=Lists!$E$2),1,0)</calculatedColumnFormula>
    </tableColumn>
    <tableColumn id="50" xr3:uid="{00000000-0010-0000-0100-000032000000}" name="RulesCountq" dataDxfId="296">
      <calculatedColumnFormula>IF(AND(Table8[[#This Row],[Quarter]]=1,Table8[[#This Row],[Program rules not acceptable to vicitm/survivor]]=Lists!$E$2),1,0)</calculatedColumnFormula>
    </tableColumn>
    <tableColumn id="51" xr3:uid="{00000000-0010-0000-0100-000033000000}" name="ResourcesCountq" dataDxfId="295">
      <calculatedColumnFormula>IF(AND(Table8[[#This Row],[Quarter]]=1,Table8[[#This Row],[Program unable to provide service due to limited resources/priority-setting]]=Lists!$E$2),1,0)</calculatedColumnFormula>
    </tableColumn>
    <tableColumn id="52" xr3:uid="{00000000-0010-0000-0100-000034000000}" name="MHCountq" dataDxfId="294">
      <calculatedColumnFormula>IF(AND(Table8[[#This Row],[Quarter]]=1,Table8[[#This Row],[Services inappropriate or inadequate for vicitms/survivors with mental health issues]]=Lists!$E$2),1,0)</calculatedColumnFormula>
    </tableColumn>
    <tableColumn id="53" xr3:uid="{00000000-0010-0000-0100-000035000000}" name="SACountq" dataDxfId="293">
      <calculatedColumnFormula>IF(AND(Table8[[#This Row],[Quarter]]=1,Table8[[#This Row],[Services inappropriate or inadequate for vicitms/survivors with substance abuse issues]]=Lists!$E$2),1,0)</calculatedColumnFormula>
    </tableColumn>
    <tableColumn id="54" xr3:uid="{00000000-0010-0000-0100-000036000000}" name="NACountq" dataDxfId="292">
      <calculatedColumnFormula>IF(AND(Table8[[#This Row],[Quarter]]=1,Table8[[#This Row],[Services not appropriate for victim/survivor]]=Lists!$E$2),1,0)</calculatedColumnFormula>
    </tableColumn>
    <tableColumn id="55" xr3:uid="{00000000-0010-0000-0100-000037000000}" name="MaleCountq" dataDxfId="291">
      <calculatedColumnFormula>IF(AND(Table8[[#This Row],[Quarter]]=1,Table8[[#This Row],[Services not available for victim/survivors accompanied by male adolescents]]=Lists!$E$2),1,0)</calculatedColumnFormula>
    </tableColumn>
    <tableColumn id="56" xr3:uid="{00000000-0010-0000-0100-000038000000}" name="TransportationCountq" dataDxfId="290">
      <calculatedColumnFormula>IF(AND(Table8[[#This Row],[Quarter]]=1,Table8[[#This Row],[Transportation]]=Lists!$E$2),1,0)</calculatedColumnFormula>
    </tableColumn>
    <tableColumn id="57" xr3:uid="{00000000-0010-0000-0100-000039000000}" name="OtherCountq" dataDxfId="289">
      <calculatedColumnFormula>IF(AND(Table8[[#This Row],[Quarter]]=1,Table8[[#This Row],[Other]]=Lists!$E$2),1,0)</calculatedColumnFormula>
    </tableColumn>
    <tableColumn id="58" xr3:uid="{00000000-0010-0000-0100-00003A000000}" name="CountSAq" dataDxfId="288">
      <calculatedColumnFormula>IF(AND(Table8[[#This Row],[Quarter]]=1,Table8[[#This Row],[Presenting Victimization]]=Lists!$A$2),1,0)</calculatedColumnFormula>
    </tableColumn>
    <tableColumn id="59" xr3:uid="{00000000-0010-0000-0100-00003B000000}" name="CountDVq" dataDxfId="287">
      <calculatedColumnFormula>IF(AND(Table8[[#This Row],[Quarter]]=1,Table8[[#This Row],[Presenting Victimization]]=Lists!$A$3),1,0)</calculatedColumnFormula>
    </tableColumn>
    <tableColumn id="60" xr3:uid="{00000000-0010-0000-0100-00003C000000}" name="CountSTq" dataDxfId="286">
      <calculatedColumnFormula>IF(AND(Table8[[#This Row],[Quarter]]=1,Table8[[#This Row],[Presenting Victimization]]=Lists!$A$4),1,0)</calculatedColumnFormula>
    </tableColumn>
    <tableColumn id="61" xr3:uid="{F09D91F9-39B6-41B8-B0A3-715983A00141}" name="CountFGMq" dataDxfId="56">
      <calculatedColumnFormula>IF(AND(Table8[[#This Row],[Quarter]]=1,Table8[[#This Row],[Presenting Victimization]]=Lists!$A$5),1,0)</calculatedColumnFormula>
    </tableColumn>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AD3" totalsRowShown="0" headerRowDxfId="285">
  <tableColumns count="30">
    <tableColumn id="1" xr3:uid="{00000000-0010-0000-0200-000001000000}" name="Client #" dataDxfId="284">
      <calculatedColumnFormula>IFERROR((INDEX(Table1[Client '#],MATCH(B3,Table1[Name],0))),"")</calculatedColumnFormula>
    </tableColumn>
    <tableColumn id="2" xr3:uid="{00000000-0010-0000-0200-000002000000}" name="Name"/>
    <tableColumn id="3" xr3:uid="{00000000-0010-0000-0200-000003000000}" name="Date of Service" dataDxfId="283"/>
    <tableColumn id="4" xr3:uid="{00000000-0010-0000-0200-000004000000}" name="Service Received"/>
    <tableColumn id="5" xr3:uid="{00000000-0010-0000-0200-000005000000}" name="If Other, please specify"/>
    <tableColumn id="6" xr3:uid="{00000000-0010-0000-0200-000006000000}" name="Year" dataDxfId="282">
      <calculatedColumnFormula>YEAR(Table3[[#This Row],[Date of Service]])</calculatedColumnFormula>
    </tableColumn>
    <tableColumn id="28" xr3:uid="{249530CE-1D40-40AE-B0D5-8B6C757D79C5}" name="YearFlag" dataDxfId="281">
      <calculatedColumnFormula>IF(Table3[[#This Row],[Year]]='Annual SAPR Data'!$C$3,1,0)</calculatedColumnFormula>
    </tableColumn>
    <tableColumn id="17" xr3:uid="{00000000-0010-0000-0200-000011000000}" name="Quarter" dataDxfId="280">
      <calculatedColumnFormula>IF(AND(Table3[[#This Row],[Date of Service]]&gt;='Quarterly SAPR Data'!$C$3,Table3[[#This Row],[Date of Service]]&lt;='Quarterly SAPR Data'!$E$3),1,0)</calculatedColumnFormula>
    </tableColumn>
    <tableColumn id="8" xr3:uid="{00000000-0010-0000-0200-000008000000}" name="CountCivil" dataDxfId="279">
      <calculatedColumnFormula>IF(AND(Table3[[#This Row],[Year]]='Annual SAPR Data'!$C$3,Table3[[#This Row],[Service Received]]=Lists!$E$6),1,0)</calculatedColumnFormula>
    </tableColumn>
    <tableColumn id="7" xr3:uid="{00000000-0010-0000-0200-000007000000}" name="CountCounseling" dataDxfId="278">
      <calculatedColumnFormula>IF(AND(Table3[[#This Row],[Year]]='Annual SAPR Data'!$C$3,Table3[[#This Row],[Service Received]]=Lists!$E$7),1,0)</calculatedColumnFormula>
    </tableColumn>
    <tableColumn id="9" xr3:uid="{00000000-0010-0000-0200-000009000000}" name="CountCriminal" dataDxfId="277">
      <calculatedColumnFormula>IF(AND(Table3[[#This Row],[Year]]='Annual SAPR Data'!$C$3,Table3[[#This Row],[Service Received]]=Lists!$E$8),1,0)</calculatedColumnFormula>
    </tableColumn>
    <tableColumn id="10" xr3:uid="{00000000-0010-0000-0200-00000A000000}" name="CountCrisis" dataDxfId="276">
      <calculatedColumnFormula>IF(AND(Table3[[#This Row],[Year]]='Annual SAPR Data'!$C$3,Table3[[#This Row],[Service Received]]=Lists!$E$9),1,0)</calculatedColumnFormula>
    </tableColumn>
    <tableColumn id="29" xr3:uid="{1349E1E3-4741-4BAD-ABA6-16BBE04ED605}" name="CountCultural">
      <calculatedColumnFormula>IF(AND(Table3[[#This Row],[Year]]='Annual SAPR Data'!$C$3,Table3[[#This Row],[Service Received]]=Lists!$E$10),1,0)</calculatedColumnFormula>
    </tableColumn>
    <tableColumn id="11" xr3:uid="{00000000-0010-0000-0200-00000B000000}" name="CountForensic" dataDxfId="275">
      <calculatedColumnFormula>IF(AND(Table3[[#This Row],[Year]]='Annual SAPR Data'!$C$3,Table3[[#This Row],[Service Received]]=Lists!$E$11),1,0)</calculatedColumnFormula>
    </tableColumn>
    <tableColumn id="12" xr3:uid="{00000000-0010-0000-0200-00000C000000}" name="CountHospital" dataDxfId="274">
      <calculatedColumnFormula>IF(AND(Table3[[#This Row],[Year]]='Annual SAPR Data'!$C$3,Table3[[#This Row],[Service Received]]=Lists!$E$12),1,0)</calculatedColumnFormula>
    </tableColumn>
    <tableColumn id="13" xr3:uid="{00000000-0010-0000-0200-00000D000000}" name="CountLanguage" dataDxfId="273">
      <calculatedColumnFormula>IF(AND(Table3[[#This Row],[Year]]='Annual SAPR Data'!$C$3,Table3[[#This Row],[Service Received]]=Lists!$E$13),1,0)</calculatedColumnFormula>
    </tableColumn>
    <tableColumn id="14" xr3:uid="{00000000-0010-0000-0200-00000E000000}" name="CountTransportation" dataDxfId="272">
      <calculatedColumnFormula>IF(AND(Table3[[#This Row],[Year]]='Annual SAPR Data'!$C$3,Table3[[#This Row],[Service Received]]=Lists!$E$14),1,0)</calculatedColumnFormula>
    </tableColumn>
    <tableColumn id="15" xr3:uid="{00000000-0010-0000-0200-00000F000000}" name="CountAdvocacy" dataDxfId="271">
      <calculatedColumnFormula>IF(AND(Table3[[#This Row],[Year]]='Annual SAPR Data'!$C$3,Table3[[#This Row],[Service Received]]=Lists!$E$15),1,0)</calculatedColumnFormula>
    </tableColumn>
    <tableColumn id="16" xr3:uid="{00000000-0010-0000-0200-000010000000}" name="CountOther" dataDxfId="270">
      <calculatedColumnFormula>IF(AND(Table3[[#This Row],[Year]]='Annual SAPR Data'!$C$3,Table3[[#This Row],[Service Received]]=Lists!$E$16),1,0)</calculatedColumnFormula>
    </tableColumn>
    <tableColumn id="18" xr3:uid="{00000000-0010-0000-0200-000012000000}" name="CountCivilq" dataDxfId="269">
      <calculatedColumnFormula>IF(AND(Table3[[#This Row],[Quarter]]=1,Table3[[#This Row],[Service Received]]=Lists!$E$6),1,0)</calculatedColumnFormula>
    </tableColumn>
    <tableColumn id="19" xr3:uid="{00000000-0010-0000-0200-000013000000}" name="CountCounselingq" dataDxfId="268">
      <calculatedColumnFormula>IF(AND(Table3[[#This Row],[Quarter]]=1,Table3[[#This Row],[Service Received]]=Lists!$E$7),1,0)</calculatedColumnFormula>
    </tableColumn>
    <tableColumn id="20" xr3:uid="{00000000-0010-0000-0200-000014000000}" name="CountCriminalq" dataDxfId="267">
      <calculatedColumnFormula>IF(AND(Table3[[#This Row],[Quarter]]=1,Table3[[#This Row],[Service Received]]=Lists!$E$8),1,0)</calculatedColumnFormula>
    </tableColumn>
    <tableColumn id="21" xr3:uid="{00000000-0010-0000-0200-000015000000}" name="CountCrisisq" dataDxfId="266">
      <calculatedColumnFormula>IF(AND(Table3[[#This Row],[Quarter]]=1,Table3[[#This Row],[Service Received]]=Lists!$E$9),1,0)</calculatedColumnFormula>
    </tableColumn>
    <tableColumn id="30" xr3:uid="{06A347A7-7E12-4101-AFAC-8086565C06D2}" name="CountCulturalq">
      <calculatedColumnFormula>IF(AND(Table3[[#This Row],[Quarter]]=1,Table3[[#This Row],[Service Received]]=Lists!$E$10),1,0)</calculatedColumnFormula>
    </tableColumn>
    <tableColumn id="22" xr3:uid="{00000000-0010-0000-0200-000016000000}" name="CountForensicq" dataDxfId="265">
      <calculatedColumnFormula>IF(AND(Table3[[#This Row],[Quarter]]=1,Table3[[#This Row],[Service Received]]=Lists!$E$11),1,0)</calculatedColumnFormula>
    </tableColumn>
    <tableColumn id="23" xr3:uid="{00000000-0010-0000-0200-000017000000}" name="CountHospitalq" dataDxfId="264">
      <calculatedColumnFormula>IF(AND(Table3[[#This Row],[Quarter]]=1,Table3[[#This Row],[Service Received]]=Lists!$E$12),1,0)</calculatedColumnFormula>
    </tableColumn>
    <tableColumn id="24" xr3:uid="{00000000-0010-0000-0200-000018000000}" name="CountLanguageq" dataDxfId="263">
      <calculatedColumnFormula>IF(AND(Table3[[#This Row],[Quarter]]=1,Table3[[#This Row],[Service Received]]=Lists!$E$13),1,0)</calculatedColumnFormula>
    </tableColumn>
    <tableColumn id="25" xr3:uid="{00000000-0010-0000-0200-000019000000}" name="CountTransportationq" dataDxfId="262">
      <calculatedColumnFormula>IF(AND(Table3[[#This Row],[Quarter]]=1,Table3[[#This Row],[Service Received]]=Lists!$E$14),1,0)</calculatedColumnFormula>
    </tableColumn>
    <tableColumn id="26" xr3:uid="{00000000-0010-0000-0200-00001A000000}" name="CountAdvocacyq" dataDxfId="261">
      <calculatedColumnFormula>IF(AND(Table3[[#This Row],[Quarter]]=1,Table3[[#This Row],[Service Received]]=Lists!$E$15),1,0)</calculatedColumnFormula>
    </tableColumn>
    <tableColumn id="27" xr3:uid="{00000000-0010-0000-0200-00001B000000}" name="CountOtherq" dataDxfId="260">
      <calculatedColumnFormula>IF(AND(Table3[[#This Row],[Quarter]]=1,Table3[[#This Row],[Service Received]]=Lists!$E$16),1,0)</calculatedColumnFormula>
    </tableColumn>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5:BK6" totalsRowShown="0" headerRowDxfId="259">
  <tableColumns count="63">
    <tableColumn id="1" xr3:uid="{00000000-0010-0000-0300-000001000000}" name="Client #" dataDxfId="258">
      <calculatedColumnFormula>IFERROR((INDEX(Table1[Client '#],MATCH(B6,Table1[Name],0))),"")</calculatedColumnFormula>
    </tableColumn>
    <tableColumn id="2" xr3:uid="{00000000-0010-0000-0300-000002000000}" name="Name"/>
    <tableColumn id="3" xr3:uid="{00000000-0010-0000-0300-000003000000}" name="Victimization Type"/>
    <tableColumn id="4" xr3:uid="{00000000-0010-0000-0300-000004000000}" name="Victim/Survivor's Relationship to Offender"/>
    <tableColumn id="6" xr3:uid="{C0CECC11-7670-40E1-8AC8-FBBD2A99EE1A}" name="If Other, please specify"/>
    <tableColumn id="5" xr3:uid="{00000000-0010-0000-0300-000005000000}" name="Year" dataDxfId="257">
      <calculatedColumnFormula>IFERROR((INDEX(Table1[YearFlag],MATCH(B6,Table1[Name],0))),"")</calculatedColumnFormula>
    </tableColumn>
    <tableColumn id="25" xr3:uid="{00000000-0010-0000-0300-000019000000}" name="Quarter" dataDxfId="256">
      <calculatedColumnFormula>IFERROR((INDEX(Table1[Qflag],MATCH(B6,Table1[Name],0))),"")</calculatedColumnFormula>
    </tableColumn>
    <tableColumn id="7" xr3:uid="{00000000-0010-0000-0300-000007000000}" name="CountSASpouse" dataDxfId="255">
      <calculatedColumnFormula>IF(AND(Table2[[#This Row],[Year]]=1,Table2[[#This Row],[Victimization Type]]=Lists!$A$2,Table2[[#This Row],[Victim/Survivor''s Relationship to Offender]]=Lists!$A$14),1,0)</calculatedColumnFormula>
    </tableColumn>
    <tableColumn id="8" xr3:uid="{00000000-0010-0000-0300-000008000000}" name="CountSAFamily" dataDxfId="254">
      <calculatedColumnFormula>IF(AND(Table2[[#This Row],[Year]]=1,Table2[[#This Row],[Victimization Type]]=Lists!$A$2,Table2[[#This Row],[Victim/Survivor''s Relationship to Offender]]=Lists!$A$15),1,0)</calculatedColumnFormula>
    </tableColumn>
    <tableColumn id="9" xr3:uid="{00000000-0010-0000-0300-000009000000}" name="CountSADating" dataDxfId="253">
      <calculatedColumnFormula>IF(AND(Table2[[#This Row],[Year]]=1,Table2[[#This Row],[Victimization Type]]=Lists!$A$2,Table2[[#This Row],[Victim/Survivor''s Relationship to Offender]]=Lists!$A$16),1,0)</calculatedColumnFormula>
    </tableColumn>
    <tableColumn id="10" xr3:uid="{00000000-0010-0000-0300-00000A000000}" name="CountSAAcquaintance" dataDxfId="252">
      <calculatedColumnFormula>IF(AND(Table2[[#This Row],[Year]]=1,Table2[[#This Row],[Victimization Type]]=Lists!$A$2,Table2[[#This Row],[Victim/Survivor''s Relationship to Offender]]=Lists!$A$17),1,0)</calculatedColumnFormula>
    </tableColumn>
    <tableColumn id="11" xr3:uid="{00000000-0010-0000-0300-00000B000000}" name="CountSAStranger" dataDxfId="251">
      <calculatedColumnFormula>IF(AND(Table2[[#This Row],[Year]]=1,Table2[[#This Row],[Victimization Type]]=Lists!$A$2,Table2[[#This Row],[Victim/Survivor''s Relationship to Offender]]=Lists!$A$18),1,0)</calculatedColumnFormula>
    </tableColumn>
    <tableColumn id="12" xr3:uid="{00000000-0010-0000-0300-00000C000000}" name="CountSAUnknown" dataDxfId="250">
      <calculatedColumnFormula>IF(AND(Table2[[#This Row],[Year]]=1,Table2[[#This Row],[Victimization Type]]=Lists!$A$2,Table2[[#This Row],[Victim/Survivor''s Relationship to Offender]]=Lists!$A$19),1,0)</calculatedColumnFormula>
    </tableColumn>
    <tableColumn id="44" xr3:uid="{77B09B61-B5D7-47B8-93C0-AEB044E269D5}" name="CountSAOther">
      <calculatedColumnFormula>IF(AND(Table2[[#This Row],[Year]]=1,Table2[[#This Row],[Victimization Type]]=Lists!$A$2,Table2[[#This Row],[Victim/Survivor''s Relationship to Offender]]=Lists!$A$20),1,0)</calculatedColumnFormula>
    </tableColumn>
    <tableColumn id="13" xr3:uid="{00000000-0010-0000-0300-00000D000000}" name="CountDVSpouse" dataDxfId="249">
      <calculatedColumnFormula>IF(AND(Table2[[#This Row],[Year]]=1,Table2[[#This Row],[Victimization Type]]=Lists!$A$3,Table2[[#This Row],[Victim/Survivor''s Relationship to Offender]]=Lists!$A$14),1,0)</calculatedColumnFormula>
    </tableColumn>
    <tableColumn id="14" xr3:uid="{00000000-0010-0000-0300-00000E000000}" name="CountDVFamily" dataDxfId="248">
      <calculatedColumnFormula>IF(AND(Table2[[#This Row],[Year]]=1,Table2[[#This Row],[Victimization Type]]=Lists!$A$3,Table2[[#This Row],[Victim/Survivor''s Relationship to Offender]]=Lists!$A$15),1,0)</calculatedColumnFormula>
    </tableColumn>
    <tableColumn id="15" xr3:uid="{00000000-0010-0000-0300-00000F000000}" name="CountDVDating" dataDxfId="247">
      <calculatedColumnFormula>IF(AND(Table2[[#This Row],[Year]]=1,Table2[[#This Row],[Victimization Type]]=Lists!$A$3,Table2[[#This Row],[Victim/Survivor''s Relationship to Offender]]=Lists!$A$16),1,0)</calculatedColumnFormula>
    </tableColumn>
    <tableColumn id="16" xr3:uid="{00000000-0010-0000-0300-000010000000}" name="CountDVAcquaintance" dataDxfId="246">
      <calculatedColumnFormula>IF(AND(Table2[[#This Row],[Year]]=1,Table2[[#This Row],[Victimization Type]]=Lists!$A$3,Table2[[#This Row],[Victim/Survivor''s Relationship to Offender]]=Lists!$A$17),1,0)</calculatedColumnFormula>
    </tableColumn>
    <tableColumn id="17" xr3:uid="{00000000-0010-0000-0300-000011000000}" name="CountDVStranger" dataDxfId="245">
      <calculatedColumnFormula>IF(AND(Table2[[#This Row],[Year]]=1,Table2[[#This Row],[Victimization Type]]=Lists!$A$3,Table2[[#This Row],[Victim/Survivor''s Relationship to Offender]]=Lists!$A$18),1,0)</calculatedColumnFormula>
    </tableColumn>
    <tableColumn id="18" xr3:uid="{00000000-0010-0000-0300-000012000000}" name="CountDVUnknown" dataDxfId="244">
      <calculatedColumnFormula>IF(AND(Table2[[#This Row],[Year]]=1,Table2[[#This Row],[Victimization Type]]=Lists!$A$3,Table2[[#This Row],[Victim/Survivor''s Relationship to Offender]]=Lists!$A$19),1,0)</calculatedColumnFormula>
    </tableColumn>
    <tableColumn id="45" xr3:uid="{8D6CADA2-0565-4632-BF4D-5F53C6100D6F}" name="CountDVOther">
      <calculatedColumnFormula>IF(AND(Table2[[#This Row],[Year]]=1,Table2[[#This Row],[Victimization Type]]=Lists!$A$3,Table2[[#This Row],[Victim/Survivor''s Relationship to Offender]]=Lists!$A$20),1,0)</calculatedColumnFormula>
    </tableColumn>
    <tableColumn id="19" xr3:uid="{00000000-0010-0000-0300-000013000000}" name="CountSTSpouse" dataDxfId="243">
      <calculatedColumnFormula>IF(AND(Table2[[#This Row],[Year]]=1,Table2[[#This Row],[Victimization Type]]=Lists!$A$4,Table2[[#This Row],[Victim/Survivor''s Relationship to Offender]]=Lists!$A$14),1,0)</calculatedColumnFormula>
    </tableColumn>
    <tableColumn id="20" xr3:uid="{00000000-0010-0000-0300-000014000000}" name="CountSTFamily" dataDxfId="242">
      <calculatedColumnFormula>IF(AND(Table2[[#This Row],[Year]]=1,Table2[[#This Row],[Victimization Type]]=Lists!$A$4,Table2[[#This Row],[Victim/Survivor''s Relationship to Offender]]=Lists!$A$15),1,0)</calculatedColumnFormula>
    </tableColumn>
    <tableColumn id="21" xr3:uid="{00000000-0010-0000-0300-000015000000}" name="CountSTDating" dataDxfId="241">
      <calculatedColumnFormula>IF(AND(Table2[[#This Row],[Year]]=1,Table2[[#This Row],[Victimization Type]]=Lists!$A$4,Table2[[#This Row],[Victim/Survivor''s Relationship to Offender]]=Lists!$A$16),1,0)</calculatedColumnFormula>
    </tableColumn>
    <tableColumn id="22" xr3:uid="{00000000-0010-0000-0300-000016000000}" name="CountSTAcquaintance" dataDxfId="240">
      <calculatedColumnFormula>IF(AND(Table2[[#This Row],[Year]]=1,Table2[[#This Row],[Victimization Type]]=Lists!$A$4,Table2[[#This Row],[Victim/Survivor''s Relationship to Offender]]=Lists!$A$17),1,0)</calculatedColumnFormula>
    </tableColumn>
    <tableColumn id="23" xr3:uid="{00000000-0010-0000-0300-000017000000}" name="CountSTStranger" dataDxfId="239">
      <calculatedColumnFormula>IF(AND(Table2[[#This Row],[Year]]=1,Table2[[#This Row],[Victimization Type]]=Lists!$A$4,Table2[[#This Row],[Victim/Survivor''s Relationship to Offender]]=Lists!$A$18),1,0)</calculatedColumnFormula>
    </tableColumn>
    <tableColumn id="24" xr3:uid="{00000000-0010-0000-0300-000018000000}" name="CountSTUnknown" dataDxfId="238">
      <calculatedColumnFormula>IF(AND(Table2[[#This Row],[Year]]=1,Table2[[#This Row],[Victimization Type]]=Lists!$A$4,Table2[[#This Row],[Victim/Survivor''s Relationship to Offender]]=Lists!$A$19),1,0)</calculatedColumnFormula>
    </tableColumn>
    <tableColumn id="46" xr3:uid="{D276D457-A6CF-4141-A0E4-686075EB8CB6}" name="CountSTOther">
      <calculatedColumnFormula>IF(AND(Table2[[#This Row],[Year]]=1,Table2[[#This Row],[Victimization Type]]=Lists!$A$4,Table2[[#This Row],[Victim/Survivor''s Relationship to Offender]]=Lists!$A$20),1,0)</calculatedColumnFormula>
    </tableColumn>
    <tableColumn id="56" xr3:uid="{12E790BF-D927-4686-A553-E23EBBFE08C8}" name="CountFGMSpouse">
      <calculatedColumnFormula>IF(AND(Table2[[#This Row],[Year]]=1,Table2[[#This Row],[Victimization Type]]=Lists!$A$5,Table2[[#This Row],[Victim/Survivor''s Relationship to Offender]]=Lists!$A$14),1,0)</calculatedColumnFormula>
    </tableColumn>
    <tableColumn id="55" xr3:uid="{39F48EA8-9281-495C-A885-B61DDE9C8964}" name="CountFGMFamily">
      <calculatedColumnFormula>IF(AND(Table2[[#This Row],[Year]]=1,Table2[[#This Row],[Victimization Type]]=Lists!$A$5,Table2[[#This Row],[Victim/Survivor''s Relationship to Offender]]=Lists!$A$15),1,0)</calculatedColumnFormula>
    </tableColumn>
    <tableColumn id="54" xr3:uid="{FE936FBF-B884-40BB-A070-9B28B1E28881}" name="CountFGMDating">
      <calculatedColumnFormula>IF(AND(Table2[[#This Row],[Year]]=1,Table2[[#This Row],[Victimization Type]]=Lists!$A$5,Table2[[#This Row],[Victim/Survivor''s Relationship to Offender]]=Lists!$A$16),1,0)</calculatedColumnFormula>
    </tableColumn>
    <tableColumn id="53" xr3:uid="{F3C57E52-7F31-4A17-B306-269692110863}" name="CountFGMAcquaintance">
      <calculatedColumnFormula>IF(AND(Table2[[#This Row],[Year]]=1,Table2[[#This Row],[Victimization Type]]=Lists!$A$5,Table2[[#This Row],[Victim/Survivor''s Relationship to Offender]]=Lists!$A$17),1,0)</calculatedColumnFormula>
    </tableColumn>
    <tableColumn id="52" xr3:uid="{63B9C6F8-D9AF-4A1A-88CB-F485A2DF61BE}" name="CountFGMStranger">
      <calculatedColumnFormula>IF(AND(Table2[[#This Row],[Year]]=1,Table2[[#This Row],[Victimization Type]]=Lists!$A$5,Table2[[#This Row],[Victim/Survivor''s Relationship to Offender]]=Lists!$A$18),1,0)</calculatedColumnFormula>
    </tableColumn>
    <tableColumn id="51" xr3:uid="{745E1C3F-0ABE-487F-899F-6805266D3B4D}" name="CountFGMUnknown">
      <calculatedColumnFormula>IF(AND(Table2[[#This Row],[Year]]=1,Table2[[#This Row],[Victimization Type]]=Lists!$A$5,Table2[[#This Row],[Victim/Survivor''s Relationship to Offender]]=Lists!$A$19),1,0)</calculatedColumnFormula>
    </tableColumn>
    <tableColumn id="50" xr3:uid="{68B819A5-218D-42EB-BEBC-102A70ACD377}" name="CountFGMOther">
      <calculatedColumnFormula>IF(AND(Table2[[#This Row],[Year]]=1,Table2[[#This Row],[Victimization Type]]=Lists!$A$5,Table2[[#This Row],[Victim/Survivor''s Relationship to Offender]]=Lists!$A$20),1,0)</calculatedColumnFormula>
    </tableColumn>
    <tableColumn id="26" xr3:uid="{00000000-0010-0000-0300-00001A000000}" name="CountSASpouseq" dataDxfId="237">
      <calculatedColumnFormula>IF(AND(Table2[[#This Row],[Quarter]]=1,Table2[[#This Row],[Victimization Type]]=Lists!$A$2,Table2[[#This Row],[Victim/Survivor''s Relationship to Offender]]=Lists!$A$14),1,0)</calculatedColumnFormula>
    </tableColumn>
    <tableColumn id="27" xr3:uid="{00000000-0010-0000-0300-00001B000000}" name="CountSAFamilyq" dataDxfId="236">
      <calculatedColumnFormula>IF(AND(Table2[[#This Row],[Quarter]]=1,Table2[[#This Row],[Victimization Type]]=Lists!$A$2,Table2[[#This Row],[Victim/Survivor''s Relationship to Offender]]=Lists!$A$15),1,0)</calculatedColumnFormula>
    </tableColumn>
    <tableColumn id="28" xr3:uid="{00000000-0010-0000-0300-00001C000000}" name="CountSADatingq" dataDxfId="235">
      <calculatedColumnFormula>IF(AND(Table2[[#This Row],[Quarter]]=1,Table2[[#This Row],[Victimization Type]]=Lists!$A$2,Table2[[#This Row],[Victim/Survivor''s Relationship to Offender]]=Lists!$A$16),1,0)</calculatedColumnFormula>
    </tableColumn>
    <tableColumn id="29" xr3:uid="{00000000-0010-0000-0300-00001D000000}" name="CountSAAcquaintanceq" dataDxfId="234">
      <calculatedColumnFormula>IF(AND(Table2[[#This Row],[Quarter]]=1,Table2[[#This Row],[Victimization Type]]=Lists!$A$2,Table2[[#This Row],[Victim/Survivor''s Relationship to Offender]]=Lists!$A$17),1,0)</calculatedColumnFormula>
    </tableColumn>
    <tableColumn id="30" xr3:uid="{00000000-0010-0000-0300-00001E000000}" name="CountSAStrangerq" dataDxfId="233">
      <calculatedColumnFormula>IF(AND(Table2[[#This Row],[Quarter]]=1,Table2[[#This Row],[Victimization Type]]=Lists!$A$2,Table2[[#This Row],[Victim/Survivor''s Relationship to Offender]]=Lists!$A$18),1,0)</calculatedColumnFormula>
    </tableColumn>
    <tableColumn id="31" xr3:uid="{00000000-0010-0000-0300-00001F000000}" name="CountSAUnknownq" dataDxfId="232">
      <calculatedColumnFormula>IF(AND(Table2[[#This Row],[Quarter]]=1,Table2[[#This Row],[Victimization Type]]=Lists!$A$2,Table2[[#This Row],[Victim/Survivor''s Relationship to Offender]]=Lists!$A$19),1,0)</calculatedColumnFormula>
    </tableColumn>
    <tableColumn id="47" xr3:uid="{2D999121-A0BA-4E95-B43D-AFAF08230BD4}" name="CountSAOtherq">
      <calculatedColumnFormula>IF(AND(Table2[[#This Row],[Quarter]]=1,Table2[[#This Row],[Victimization Type]]=Lists!$A$2,Table2[[#This Row],[Victim/Survivor''s Relationship to Offender]]=Lists!$A$20),1,0)</calculatedColumnFormula>
    </tableColumn>
    <tableColumn id="32" xr3:uid="{00000000-0010-0000-0300-000020000000}" name="CountDVSpouseq" dataDxfId="231">
      <calculatedColumnFormula>IF(AND(Table2[[#This Row],[Quarter]]=1,Table2[[#This Row],[Victimization Type]]=Lists!$A$3,Table2[[#This Row],[Victim/Survivor''s Relationship to Offender]]=Lists!$A$14),1,0)</calculatedColumnFormula>
    </tableColumn>
    <tableColumn id="33" xr3:uid="{00000000-0010-0000-0300-000021000000}" name="CountDVFamilyq" dataDxfId="230">
      <calculatedColumnFormula>IF(AND(Table2[[#This Row],[Quarter]]=1,Table2[[#This Row],[Victimization Type]]=Lists!$A$3,Table2[[#This Row],[Victim/Survivor''s Relationship to Offender]]=Lists!$A$15),1,0)</calculatedColumnFormula>
    </tableColumn>
    <tableColumn id="34" xr3:uid="{00000000-0010-0000-0300-000022000000}" name="CountDVDatingq" dataDxfId="229">
      <calculatedColumnFormula>IF(AND(Table2[[#This Row],[Quarter]]=1,Table2[[#This Row],[Victimization Type]]=Lists!$A$3,Table2[[#This Row],[Victim/Survivor''s Relationship to Offender]]=Lists!$A$16),1,0)</calculatedColumnFormula>
    </tableColumn>
    <tableColumn id="35" xr3:uid="{00000000-0010-0000-0300-000023000000}" name="CountDVAcquaintanceq" dataDxfId="228">
      <calculatedColumnFormula>IF(AND(Table2[[#This Row],[Quarter]]=1,Table2[[#This Row],[Victimization Type]]=Lists!$A$3,Table2[[#This Row],[Victim/Survivor''s Relationship to Offender]]=Lists!$A$17),1,0)</calculatedColumnFormula>
    </tableColumn>
    <tableColumn id="36" xr3:uid="{00000000-0010-0000-0300-000024000000}" name="CountDVStrangerq" dataDxfId="227">
      <calculatedColumnFormula>IF(AND(Table2[[#This Row],[Quarter]]=1,Table2[[#This Row],[Victimization Type]]=Lists!$A$3,Table2[[#This Row],[Victim/Survivor''s Relationship to Offender]]=Lists!$A$18),1,0)</calculatedColumnFormula>
    </tableColumn>
    <tableColumn id="37" xr3:uid="{00000000-0010-0000-0300-000025000000}" name="CountDVUnknownq" dataDxfId="226">
      <calculatedColumnFormula>IF(AND(Table2[[#This Row],[Quarter]]=1,Table2[[#This Row],[Victimization Type]]=Lists!$A$3,Table2[[#This Row],[Victim/Survivor''s Relationship to Offender]]=Lists!$A$19),1,0)</calculatedColumnFormula>
    </tableColumn>
    <tableColumn id="48" xr3:uid="{3A46C126-0B85-4289-88C6-94243110E515}" name="CountDVOtherq">
      <calculatedColumnFormula>IF(AND(Table2[[#This Row],[Quarter]]=1,Table2[[#This Row],[Victimization Type]]=Lists!$A$3,Table2[[#This Row],[Victim/Survivor''s Relationship to Offender]]=Lists!$A$20),1,0)</calculatedColumnFormula>
    </tableColumn>
    <tableColumn id="38" xr3:uid="{00000000-0010-0000-0300-000026000000}" name="CountSTSpouseq" dataDxfId="225">
      <calculatedColumnFormula>IF(AND(Table2[[#This Row],[Quarter]]=1,Table2[[#This Row],[Victimization Type]]=Lists!$A$4,Table2[[#This Row],[Victim/Survivor''s Relationship to Offender]]=Lists!$A$14),1,0)</calculatedColumnFormula>
    </tableColumn>
    <tableColumn id="39" xr3:uid="{00000000-0010-0000-0300-000027000000}" name="CountSTFamilyq" dataDxfId="224">
      <calculatedColumnFormula>IF(AND(Table2[[#This Row],[Quarter]]=1,Table2[[#This Row],[Victimization Type]]=Lists!$A$4,Table2[[#This Row],[Victim/Survivor''s Relationship to Offender]]=Lists!$A$15),1,0)</calculatedColumnFormula>
    </tableColumn>
    <tableColumn id="40" xr3:uid="{00000000-0010-0000-0300-000028000000}" name="CountSTDatingq" dataDxfId="223">
      <calculatedColumnFormula>IF(AND(Table2[[#This Row],[Quarter]]=1,Table2[[#This Row],[Victimization Type]]=Lists!$A$4,Table2[[#This Row],[Victim/Survivor''s Relationship to Offender]]=Lists!$A$16),1,0)</calculatedColumnFormula>
    </tableColumn>
    <tableColumn id="41" xr3:uid="{00000000-0010-0000-0300-000029000000}" name="CountSTAcquaintanceq" dataDxfId="222">
      <calculatedColumnFormula>IF(AND(Table2[[#This Row],[Quarter]]=1,Table2[[#This Row],[Victimization Type]]=Lists!$A$4,Table2[[#This Row],[Victim/Survivor''s Relationship to Offender]]=Lists!$A$17),1,0)</calculatedColumnFormula>
    </tableColumn>
    <tableColumn id="42" xr3:uid="{00000000-0010-0000-0300-00002A000000}" name="CountSTStrangerq" dataDxfId="221">
      <calculatedColumnFormula>IF(AND(Table2[[#This Row],[Quarter]]=1,Table2[[#This Row],[Victimization Type]]=Lists!$A$4,Table2[[#This Row],[Victim/Survivor''s Relationship to Offender]]=Lists!$A$18),1,0)</calculatedColumnFormula>
    </tableColumn>
    <tableColumn id="43" xr3:uid="{00000000-0010-0000-0300-00002B000000}" name="CountSTUnknownq" dataDxfId="220">
      <calculatedColumnFormula>IF(AND(Table2[[#This Row],[Quarter]]=1,Table2[[#This Row],[Victimization Type]]=Lists!$A$4,Table2[[#This Row],[Victim/Survivor''s Relationship to Offender]]=Lists!$A$19),1,0)</calculatedColumnFormula>
    </tableColumn>
    <tableColumn id="49" xr3:uid="{B4112891-BA1E-4351-8227-89C9F6CF2BF3}" name="CountSTOtherq" dataDxfId="15">
      <calculatedColumnFormula>IF(AND(Table2[[#This Row],[Quarter]]=1,Table2[[#This Row],[Victimization Type]]=Lists!$A$4,Table2[[#This Row],[Victim/Survivor''s Relationship to Offender]]=Lists!$A$20),1,0)</calculatedColumnFormula>
    </tableColumn>
    <tableColumn id="57" xr3:uid="{512C32AC-9223-4AA2-B563-87DE47379D05}" name="CountFGMSpouseq" dataDxfId="14">
      <calculatedColumnFormula>IF(AND(Table2[[#This Row],[Quarter]]=1,Table2[[#This Row],[Victimization Type]]=Lists!$A$5,Table2[[#This Row],[Victim/Survivor''s Relationship to Offender]]=Lists!$A$14),1,0)</calculatedColumnFormula>
    </tableColumn>
    <tableColumn id="58" xr3:uid="{0E67FA30-7858-4F26-A09F-9B1F0BD2095E}" name="CountFGMFamilyq" dataDxfId="13">
      <calculatedColumnFormula>IF(AND(Table2[[#This Row],[Quarter]]=1,Table2[[#This Row],[Victimization Type]]=Lists!$A$5,Table2[[#This Row],[Victim/Survivor''s Relationship to Offender]]=Lists!$A$15),1,0)</calculatedColumnFormula>
    </tableColumn>
    <tableColumn id="59" xr3:uid="{803398D7-413D-4B03-88DC-4E51C522664B}" name="CountFGMDatingq" dataDxfId="12">
      <calculatedColumnFormula>IF(AND(Table2[[#This Row],[Quarter]]=1,Table2[[#This Row],[Victimization Type]]=Lists!$A$5,Table2[[#This Row],[Victim/Survivor''s Relationship to Offender]]=Lists!$A$16),1,0)</calculatedColumnFormula>
    </tableColumn>
    <tableColumn id="60" xr3:uid="{772DA2D3-8A99-4BBE-A3FC-456B57A4DB27}" name="CountFGMAcquaintanceq" dataDxfId="11">
      <calculatedColumnFormula>IF(AND(Table2[[#This Row],[Quarter]]=1,Table2[[#This Row],[Victimization Type]]=Lists!$A$5,Table2[[#This Row],[Victim/Survivor''s Relationship to Offender]]=Lists!$A$17),1,0)</calculatedColumnFormula>
    </tableColumn>
    <tableColumn id="61" xr3:uid="{5AB70814-C87C-416B-BFAB-06752C043FA7}" name="CountFGMStrangerq" dataDxfId="10">
      <calculatedColumnFormula>IF(AND(Table2[[#This Row],[Quarter]]=1,Table2[[#This Row],[Victimization Type]]=Lists!$A$5,Table2[[#This Row],[Victim/Survivor''s Relationship to Offender]]=Lists!$A$18),1,0)</calculatedColumnFormula>
    </tableColumn>
    <tableColumn id="62" xr3:uid="{9893F322-A69C-4742-B665-526848413CC5}" name="CountFGMUnknownq" dataDxfId="9">
      <calculatedColumnFormula>IF(AND(Table2[[#This Row],[Quarter]]=1,Table2[[#This Row],[Victimization Type]]=Lists!$A$5,Table2[[#This Row],[Victim/Survivor''s Relationship to Offender]]=Lists!$A$19),1,0)</calculatedColumnFormula>
    </tableColumn>
    <tableColumn id="63" xr3:uid="{14A232B3-0DAE-4118-9AE6-9DE9C6718415}" name="CountFGMOtherq" dataDxfId="8">
      <calculatedColumnFormula>IF(AND(Table2[[#This Row],[Quarter]]=1,Table2[[#This Row],[Victimization Type]]=Lists!$A$5,Table2[[#This Row],[Victim/Survivor''s Relationship to Offender]]=Lists!$A$20),1,0)</calculatedColumnFormula>
    </tableColumn>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Table9" displayName="Table9" ref="A2:M3" totalsRowShown="0" headerRowDxfId="219">
  <tableColumns count="13">
    <tableColumn id="1" xr3:uid="{00000000-0010-0000-0400-000001000000}" name="Name"/>
    <tableColumn id="3" xr3:uid="{00000000-0010-0000-0400-000003000000}" name="Date" dataDxfId="218"/>
    <tableColumn id="2" xr3:uid="{00000000-0010-0000-0400-000002000000}" name="Presenting Victimization"/>
    <tableColumn id="4" xr3:uid="{00000000-0010-0000-0400-000004000000}" name="Year" dataDxfId="217">
      <calculatedColumnFormula>YEAR(Table9[[#This Row],[Date]])</calculatedColumnFormula>
    </tableColumn>
    <tableColumn id="8" xr3:uid="{00000000-0010-0000-0400-000008000000}" name="Quarter" dataDxfId="216">
      <calculatedColumnFormula>IF(AND(Table9[[#This Row],[Date]]&gt;='Quarterly SAPR Data'!$C$3,Table9[[#This Row],[Date]]&lt;='Quarterly SAPR Data'!$E$3),1,0)</calculatedColumnFormula>
    </tableColumn>
    <tableColumn id="5" xr3:uid="{00000000-0010-0000-0400-000005000000}" name="SAFlag" dataDxfId="215">
      <calculatedColumnFormula>IF(AND(Table9[[#This Row],[Year]]='Annual SAPR Data'!$C$3,Table9[[#This Row],[Presenting Victimization]]=Lists!$A$2),1,0)</calculatedColumnFormula>
    </tableColumn>
    <tableColumn id="6" xr3:uid="{00000000-0010-0000-0400-000006000000}" name="DVFlag" dataDxfId="214">
      <calculatedColumnFormula>IF(AND(Table9[[#This Row],[Year]]='Annual SAPR Data'!$C$3,Table9[[#This Row],[Presenting Victimization]]=Lists!$A$3),1,0)</calculatedColumnFormula>
    </tableColumn>
    <tableColumn id="7" xr3:uid="{00000000-0010-0000-0400-000007000000}" name="STFlag" dataDxfId="213">
      <calculatedColumnFormula>IF(AND(Table9[[#This Row],[Year]]='Annual SAPR Data'!$C$3,Table9[[#This Row],[Presenting Victimization]]=Lists!$A$4),1,0)</calculatedColumnFormula>
    </tableColumn>
    <tableColumn id="12" xr3:uid="{CC3048F3-90BC-4B5F-91F2-E2DAA21C3E40}" name="FGMFlag" dataDxfId="35">
      <calculatedColumnFormula>IF(AND(Table9[[#This Row],[Year]]='Annual SAPR Data'!$C$3,Table9[[#This Row],[Presenting Victimization]]=Lists!$A$5),1,0)</calculatedColumnFormula>
    </tableColumn>
    <tableColumn id="9" xr3:uid="{00000000-0010-0000-0400-000009000000}" name="SAFlagq" dataDxfId="212">
      <calculatedColumnFormula>IF(AND(Table9[[#This Row],[Quarter]]=1,Table9[[#This Row],[Presenting Victimization]]=Lists!$A$2),1,0)</calculatedColumnFormula>
    </tableColumn>
    <tableColumn id="10" xr3:uid="{00000000-0010-0000-0400-00000A000000}" name="DVFlagq" dataDxfId="211">
      <calculatedColumnFormula>IF(AND(Table9[[#This Row],[Quarter]]=1,Table9[[#This Row],[Presenting Victimization]]=Lists!$A$3),1,0)</calculatedColumnFormula>
    </tableColumn>
    <tableColumn id="11" xr3:uid="{00000000-0010-0000-0400-00000B000000}" name="STFlagq" dataDxfId="210">
      <calculatedColumnFormula>IF(AND(Table9[[#This Row],[Quarter]]=1,Table9[[#This Row],[Presenting Victimization]]=Lists!$A$4),1,0)</calculatedColumnFormula>
    </tableColumn>
    <tableColumn id="13" xr3:uid="{701FD978-9988-49FA-ACB6-3F0B471E5155}" name="FGMFlagq" dataDxfId="34">
      <calculatedColumnFormula>IF(AND(Table9[[#This Row],[Quarter]]=1,Table9[[#This Row],[Presenting Victimization]]=Lists!$A$5),1,0)</calculatedColumnFormula>
    </tableColumn>
  </tableColumns>
  <tableStyleInfo name="TableStyleMedium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4" displayName="Table4" ref="A4:W5" totalsRowShown="0" headerRowDxfId="209">
  <tableColumns count="23">
    <tableColumn id="1" xr3:uid="{00000000-0010-0000-0500-000001000000}" name="Name"/>
    <tableColumn id="5" xr3:uid="{00000000-0010-0000-0500-000005000000}" name="Date" dataDxfId="208"/>
    <tableColumn id="4" xr3:uid="{00000000-0010-0000-0500-000004000000}" name="Type of Shelter"/>
    <tableColumn id="2" xr3:uid="{00000000-0010-0000-0500-000002000000}" name="Number of accompanying family members" dataDxfId="207"/>
    <tableColumn id="3" xr3:uid="{00000000-0010-0000-0500-000003000000}" name="Number of nights" dataDxfId="206">
      <calculatedColumnFormula>1</calculatedColumnFormula>
    </tableColumn>
    <tableColumn id="6" xr3:uid="{00000000-0010-0000-0500-000006000000}" name="Year" dataDxfId="205">
      <calculatedColumnFormula>YEAR(Table4[[#This Row],[Date]])</calculatedColumnFormula>
    </tableColumn>
    <tableColumn id="15" xr3:uid="{00000000-0010-0000-0500-00000F000000}" name="Quarter" dataDxfId="204">
      <calculatedColumnFormula>IF(AND(Table4[[#This Row],[Date]]&gt;='Quarterly SAPR Data'!$C$3,Table4[[#This Row],[Date]]&lt;='Quarterly SAPR Data'!$E$3),1,0)</calculatedColumnFormula>
    </tableColumn>
    <tableColumn id="7" xr3:uid="{00000000-0010-0000-0500-000007000000}" name="ESCountVictim" dataDxfId="203">
      <calculatedColumnFormula>IF(AND(Table4[[#This Row],[Year]]='Annual SAPR Data'!$C$3,Table4[[#This Row],[Type of Shelter]]=Lists!$A$22),1,0)</calculatedColumnFormula>
    </tableColumn>
    <tableColumn id="13" xr3:uid="{00000000-0010-0000-0500-00000D000000}" name="ESCountFamily" dataDxfId="202">
      <calculatedColumnFormula>IF(Table4[[#This Row],[ESCountVictim]]=1,(Table4[[#This Row],[Number of accompanying family members]]),0)</calculatedColumnFormula>
    </tableColumn>
    <tableColumn id="8" xr3:uid="{00000000-0010-0000-0500-000008000000}" name="ESTotalVictims" dataDxfId="201">
      <calculatedColumnFormula>SUM(Table4[[#This Row],[ESCountVictim]:[ESCountFamily]])</calculatedColumnFormula>
    </tableColumn>
    <tableColumn id="9" xr3:uid="{00000000-0010-0000-0500-000009000000}" name="ESTotalNights" dataDxfId="200">
      <calculatedColumnFormula>Table4[[#This Row],[ESTotalVictims]]*Table4[[#This Row],[Number of nights]]</calculatedColumnFormula>
    </tableColumn>
    <tableColumn id="10" xr3:uid="{00000000-0010-0000-0500-00000A000000}" name="THCountVictims" dataDxfId="199">
      <calculatedColumnFormula>IF(AND(Table4[[#This Row],[Year]]='Annual SAPR Data'!$C$3,Table4[[#This Row],[Type of Shelter]]=Lists!$A$23),1,0)</calculatedColumnFormula>
    </tableColumn>
    <tableColumn id="14" xr3:uid="{00000000-0010-0000-0500-00000E000000}" name="THCountFamily" dataDxfId="198">
      <calculatedColumnFormula>IF(Table4[[#This Row],[THCountVictims]]=1,(Table4[[#This Row],[Number of accompanying family members]]),0)</calculatedColumnFormula>
    </tableColumn>
    <tableColumn id="11" xr3:uid="{00000000-0010-0000-0500-00000B000000}" name="THTotalVicitms" dataDxfId="197">
      <calculatedColumnFormula>SUM(Table4[[#This Row],[THCountVictims]:[THCountFamily]])</calculatedColumnFormula>
    </tableColumn>
    <tableColumn id="12" xr3:uid="{00000000-0010-0000-0500-00000C000000}" name="THTotalNights" dataDxfId="196">
      <calculatedColumnFormula>Table4[[#This Row],[THTotalVicitms]]*Table4[[#This Row],[Number of nights]]</calculatedColumnFormula>
    </tableColumn>
    <tableColumn id="16" xr3:uid="{00000000-0010-0000-0500-000010000000}" name="ESCountVictimq" dataDxfId="195">
      <calculatedColumnFormula>IF(AND(Table4[[#This Row],[Quarter]]=1,Table4[[#This Row],[Type of Shelter]]=Lists!$A$22),1,0)</calculatedColumnFormula>
    </tableColumn>
    <tableColumn id="17" xr3:uid="{00000000-0010-0000-0500-000011000000}" name="ESCountFamilyq" dataDxfId="194">
      <calculatedColumnFormula>IF(Table4[[#This Row],[ESCountVictimq]]=1,(Table4[[#This Row],[Number of accompanying family members]]),0)</calculatedColumnFormula>
    </tableColumn>
    <tableColumn id="18" xr3:uid="{00000000-0010-0000-0500-000012000000}" name="ESTotalVictimsq" dataDxfId="193">
      <calculatedColumnFormula>SUM(Table4[[#This Row],[ESCountVictimq]:[ESCountFamilyq]])</calculatedColumnFormula>
    </tableColumn>
    <tableColumn id="19" xr3:uid="{00000000-0010-0000-0500-000013000000}" name="ESTotalNightsq" dataDxfId="192">
      <calculatedColumnFormula>Table4[[#This Row],[ESTotalVictimsq]]*Table4[[#This Row],[Number of nights]]</calculatedColumnFormula>
    </tableColumn>
    <tableColumn id="20" xr3:uid="{00000000-0010-0000-0500-000014000000}" name="THCountVictimsq" dataDxfId="191">
      <calculatedColumnFormula>IF(AND(Table4[[#This Row],[Quarter]]=1,Table4[[#This Row],[Type of Shelter]]=Lists!$A$23),1,0)</calculatedColumnFormula>
    </tableColumn>
    <tableColumn id="21" xr3:uid="{00000000-0010-0000-0500-000015000000}" name="THCountFamilyq" dataDxfId="190">
      <calculatedColumnFormula>IF(Table4[[#This Row],[THCountVictimsq]]=1,(Table4[[#This Row],[Number of accompanying family members]]),0)</calculatedColumnFormula>
    </tableColumn>
    <tableColumn id="22" xr3:uid="{00000000-0010-0000-0500-000016000000}" name="THTotalVicitmsq" dataDxfId="189">
      <calculatedColumnFormula>SUM(Table4[[#This Row],[THCountVictimsq]:[THCountFamilyq]])</calculatedColumnFormula>
    </tableColumn>
    <tableColumn id="23" xr3:uid="{00000000-0010-0000-0500-000017000000}" name="THTotalNightsq" dataDxfId="188">
      <calculatedColumnFormula>Table4[[#This Row],[THTotalVicitmsq]]*Table4[[#This Row],[Number of nights]]</calculatedColumnFormula>
    </tableColumn>
  </tableColumns>
  <tableStyleInfo name="TableStyleMedium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Table5" displayName="Table5" ref="A1:I2" totalsRowShown="0" headerRowDxfId="187">
  <tableColumns count="9">
    <tableColumn id="1" xr3:uid="{00000000-0010-0000-0600-000001000000}" name="Name (if known)"/>
    <tableColumn id="2" xr3:uid="{00000000-0010-0000-0600-000002000000}" name="Date" dataDxfId="186"/>
    <tableColumn id="3" xr3:uid="{00000000-0010-0000-0600-000003000000}" name="Was Caller a Primary Victim? (select &quot;Yes&quot; or &quot;No&quot;)"/>
    <tableColumn id="4" xr3:uid="{00000000-0010-0000-0600-000004000000}" name="Year" dataDxfId="185">
      <calculatedColumnFormula>YEAR(Table5[[#This Row],[Date]])</calculatedColumnFormula>
    </tableColumn>
    <tableColumn id="7" xr3:uid="{00000000-0010-0000-0600-000007000000}" name="Quarter" dataDxfId="184">
      <calculatedColumnFormula>IF(AND(Table5[[#This Row],[Date]]&gt;='Quarterly SAPR Data'!$C$3,Table5[[#This Row],[Date]]&lt;='Quarterly SAPR Data'!$E$3),1,0)</calculatedColumnFormula>
    </tableColumn>
    <tableColumn id="5" xr3:uid="{00000000-0010-0000-0600-000005000000}" name="AllCount" dataDxfId="183">
      <calculatedColumnFormula>IF(Table5[[#This Row],[Year]]='Annual SAPR Data'!$C$3,1,0)</calculatedColumnFormula>
    </tableColumn>
    <tableColumn id="6" xr3:uid="{00000000-0010-0000-0600-000006000000}" name="PrimaryCount" dataDxfId="182">
      <calculatedColumnFormula>IF(AND(Table5[[#This Row],[Year]]='Annual SAPR Data'!$C$3,Table5[[#This Row],[Was Caller a Primary Victim? (select "Yes" or "No")]]=Lists!$E$2),1,0)</calculatedColumnFormula>
    </tableColumn>
    <tableColumn id="8" xr3:uid="{00000000-0010-0000-0600-000008000000}" name="AllCountq" dataDxfId="181">
      <calculatedColumnFormula>IF(Table5[[#This Row],[Quarter]]=1,1,0)</calculatedColumnFormula>
    </tableColumn>
    <tableColumn id="9" xr3:uid="{00000000-0010-0000-0600-000009000000}" name="PrimaryCountq" dataDxfId="180">
      <calculatedColumnFormula>IF(AND(Table5[[#This Row],[Quarter]]=1,Table5[[#This Row],[Was Caller a Primary Victim? (select "Yes" or "No")]]=Lists!$E$2),1,0)</calculatedColumnFormula>
    </tableColumn>
  </tableColumns>
  <tableStyleInfo name="TableStyleMedium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le6" displayName="Table6" ref="A2:F3" totalsRowShown="0" headerRowDxfId="179">
  <tableColumns count="6">
    <tableColumn id="1" xr3:uid="{00000000-0010-0000-0700-000001000000}" name="Name"/>
    <tableColumn id="2" xr3:uid="{00000000-0010-0000-0700-000002000000}" name="Date" dataDxfId="178"/>
    <tableColumn id="3" xr3:uid="{00000000-0010-0000-0700-000003000000}" name="Year" dataDxfId="177">
      <calculatedColumnFormula>YEAR(Table6[[#This Row],[Date]])</calculatedColumnFormula>
    </tableColumn>
    <tableColumn id="5" xr3:uid="{00000000-0010-0000-0700-000005000000}" name="Quarter" dataDxfId="176">
      <calculatedColumnFormula>IF(AND(Table6[[#This Row],[Date]]&gt;='Quarterly SAPR Data'!$C$3,Table6[[#This Row],[Date]]&lt;='Quarterly SAPR Data'!$E$3),1,0)</calculatedColumnFormula>
    </tableColumn>
    <tableColumn id="4" xr3:uid="{00000000-0010-0000-0700-000004000000}" name="CountFlag" dataDxfId="175">
      <calculatedColumnFormula>IF(Table6[[#This Row],[Year]]='Annual SAPR Data'!$C$3,1,0)</calculatedColumnFormula>
    </tableColumn>
    <tableColumn id="6" xr3:uid="{00000000-0010-0000-0700-000006000000}" name="CountFlagq" dataDxfId="174">
      <calculatedColumnFormula>IF(Table6[[#This Row],[Quarter]]=1,1,0)</calculatedColumnFormula>
    </tableColumn>
  </tableColumns>
  <tableStyleInfo name="TableStyleMedium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Table7" displayName="Table7" ref="A2:I3" totalsRowShown="0" headerRowDxfId="173">
  <tableColumns count="9">
    <tableColumn id="1" xr3:uid="{00000000-0010-0000-0800-000001000000}" name="Name"/>
    <tableColumn id="3" xr3:uid="{00000000-0010-0000-0800-000003000000}" name="Protection Order Type"/>
    <tableColumn id="5" xr3:uid="{00000000-0010-0000-0800-000005000000}" name="Date Requested" dataDxfId="172"/>
    <tableColumn id="6" xr3:uid="{00000000-0010-0000-0800-000006000000}" name="Year" dataDxfId="171">
      <calculatedColumnFormula>YEAR(Table7[[#This Row],[Date Requested]])</calculatedColumnFormula>
    </tableColumn>
    <tableColumn id="19" xr3:uid="{00000000-0010-0000-0800-000013000000}" name="Quarter" dataDxfId="170">
      <calculatedColumnFormula>IF(AND(Table7[[#This Row],[Date Requested]]&gt;='Quarterly SAPR Data'!$C$3,Table7[[#This Row],[Date Requested]]&lt;='Quarterly SAPR Data'!$E$3),1,0)</calculatedColumnFormula>
    </tableColumn>
    <tableColumn id="8" xr3:uid="{00000000-0010-0000-0800-000008000000}" name="TPOGrant" dataDxfId="6">
      <calculatedColumnFormula>IF(AND(Table7[[#This Row],[Year]]='Annual SAPR Data'!$C$3,Table7[[#This Row],[Protection Order Type]]=Lists!$E$18),1,0)</calculatedColumnFormula>
    </tableColumn>
    <tableColumn id="10" xr3:uid="{00000000-0010-0000-0800-00000A000000}" name="FPOGrant" dataDxfId="5">
      <calculatedColumnFormula>IF(AND(Table7[[#This Row],[Year]]='Annual SAPR Data'!$C$3,Table7[[#This Row],[Protection Order Type]]=Lists!$E$19),1,0)</calculatedColumnFormula>
    </tableColumn>
    <tableColumn id="29" xr3:uid="{00000000-0010-0000-0800-00001D000000}" name="TPOGrantq" dataDxfId="169">
      <calculatedColumnFormula>IF(AND(Table7[[#This Row],[Quarter]]=1,Table7[[#This Row],[Protection Order Type]]=Lists!$E$18),1,0)</calculatedColumnFormula>
    </tableColumn>
    <tableColumn id="31" xr3:uid="{00000000-0010-0000-0800-00001F000000}" name="FPOGrantq" dataDxfId="168">
      <calculatedColumnFormula>IF(AND(Table7[[#This Row],[Quarter]]=1,Table7[[#This Row],[Protection Order Type]]=Lists!$E$19),1,0)</calculatedColumnFormula>
    </tableColumn>
  </tableColumns>
  <tableStyleInfo name="TableStyleMedium16" showFirstColumn="0" showLastColumn="0" showRowStripes="1" showColumnStripes="0"/>
</table>
</file>

<file path=xl/theme/theme1.xml><?xml version="1.0" encoding="utf-8"?>
<a:theme xmlns:a="http://schemas.openxmlformats.org/drawingml/2006/main" name="ISAC Brand MS Office Theme">
  <a:themeElements>
    <a:clrScheme name="ISAC Brand">
      <a:dk1>
        <a:sysClr val="windowText" lastClr="000000"/>
      </a:dk1>
      <a:lt1>
        <a:sysClr val="window" lastClr="FFFFFF"/>
      </a:lt1>
      <a:dk2>
        <a:srgbClr val="44546A"/>
      </a:dk2>
      <a:lt2>
        <a:srgbClr val="E7E6E6"/>
      </a:lt2>
      <a:accent1>
        <a:srgbClr val="002F56"/>
      </a:accent1>
      <a:accent2>
        <a:srgbClr val="648C5B"/>
      </a:accent2>
      <a:accent3>
        <a:srgbClr val="D15854"/>
      </a:accent3>
      <a:accent4>
        <a:srgbClr val="72C1F2"/>
      </a:accent4>
      <a:accent5>
        <a:srgbClr val="AAC777"/>
      </a:accent5>
      <a:accent6>
        <a:srgbClr val="989CA3"/>
      </a:accent6>
      <a:hlink>
        <a:srgbClr val="0563C1"/>
      </a:hlink>
      <a:folHlink>
        <a:srgbClr val="954F72"/>
      </a:folHlink>
    </a:clrScheme>
    <a:fontScheme name="Metropolitan">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Metropolitan">
      <a:fillStyleLst>
        <a:solidFill>
          <a:schemeClr val="phClr"/>
        </a:solidFill>
        <a:gradFill rotWithShape="1">
          <a:gsLst>
            <a:gs pos="0">
              <a:schemeClr val="phClr">
                <a:tint val="70000"/>
                <a:satMod val="100000"/>
                <a:lumMod val="110000"/>
              </a:schemeClr>
            </a:gs>
            <a:gs pos="50000">
              <a:schemeClr val="phClr">
                <a:tint val="75000"/>
                <a:satMod val="101000"/>
                <a:lumMod val="105000"/>
              </a:schemeClr>
            </a:gs>
            <a:gs pos="100000">
              <a:schemeClr val="phClr">
                <a:tint val="82000"/>
                <a:satMod val="104000"/>
                <a:lumMod val="105000"/>
              </a:schemeClr>
            </a:gs>
          </a:gsLst>
          <a:lin ang="2700000" scaled="0"/>
        </a:gradFill>
        <a:gradFill rotWithShape="1">
          <a:gsLst>
            <a:gs pos="0">
              <a:schemeClr val="phClr">
                <a:tint val="97000"/>
                <a:satMod val="100000"/>
                <a:lumMod val="102000"/>
              </a:schemeClr>
            </a:gs>
            <a:gs pos="50000">
              <a:schemeClr val="phClr">
                <a:shade val="100000"/>
                <a:satMod val="100000"/>
                <a:lumMod val="100000"/>
              </a:schemeClr>
            </a:gs>
            <a:gs pos="100000">
              <a:schemeClr val="phClr">
                <a:shade val="80000"/>
                <a:satMod val="100000"/>
                <a:lumMod val="99000"/>
              </a:schemeClr>
            </a:gs>
          </a:gsLst>
          <a:lin ang="27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solidFill>
          <a:schemeClr val="phClr">
            <a:shade val="95000"/>
            <a:satMod val="170000"/>
          </a:schemeClr>
        </a:solidFill>
      </a:bgFillStyleLst>
    </a:fmtScheme>
  </a:themeElements>
  <a:objectDefaults/>
  <a:extraClrSchemeLst/>
  <a:extLst>
    <a:ext uri="{05A4C25C-085E-4340-85A3-A5531E510DB2}">
      <thm15:themeFamily xmlns:thm15="http://schemas.microsoft.com/office/thememl/2012/main" name="Metropolitan" id="{4C5440D6-04D2-4954-96CF-F251137069B2}" vid="{79CFCA13-9412-4290-BB4B-85112F88857B}"/>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B1:J133"/>
  <sheetViews>
    <sheetView showGridLines="0" tabSelected="1" workbookViewId="0">
      <selection activeCell="C2" sqref="C2"/>
    </sheetView>
  </sheetViews>
  <sheetFormatPr defaultRowHeight="15" x14ac:dyDescent="0.25"/>
  <cols>
    <col min="1" max="1" width="1.25" customWidth="1"/>
    <col min="2" max="2" width="27.875" customWidth="1"/>
    <col min="3" max="3" width="15.75" customWidth="1"/>
    <col min="4" max="4" width="20.875" bestFit="1" customWidth="1"/>
    <col min="5" max="5" width="13" bestFit="1" customWidth="1"/>
    <col min="6" max="6" width="17.875" customWidth="1"/>
  </cols>
  <sheetData>
    <row r="1" spans="2:10" ht="21" x14ac:dyDescent="0.35">
      <c r="B1" s="57" t="s">
        <v>443</v>
      </c>
      <c r="C1" s="57"/>
      <c r="D1" s="57"/>
      <c r="E1" s="57"/>
      <c r="F1" s="57"/>
      <c r="G1" s="57"/>
      <c r="H1" s="57"/>
      <c r="I1" s="57"/>
      <c r="J1" s="49"/>
    </row>
    <row r="3" spans="2:10" ht="21" x14ac:dyDescent="0.35">
      <c r="B3" s="25" t="s">
        <v>321</v>
      </c>
      <c r="C3" s="52">
        <v>45383</v>
      </c>
      <c r="D3" s="25" t="s">
        <v>322</v>
      </c>
      <c r="E3" s="52">
        <v>45473</v>
      </c>
    </row>
    <row r="4" spans="2:10" x14ac:dyDescent="0.25">
      <c r="B4" s="58" t="s">
        <v>325</v>
      </c>
      <c r="C4" s="58"/>
      <c r="D4" s="58"/>
      <c r="E4" s="58"/>
    </row>
    <row r="5" spans="2:10" x14ac:dyDescent="0.25">
      <c r="B5" s="54"/>
      <c r="C5" s="54"/>
      <c r="D5" s="54"/>
      <c r="E5" s="54"/>
    </row>
    <row r="6" spans="2:10" x14ac:dyDescent="0.25">
      <c r="B6" s="1" t="s">
        <v>343</v>
      </c>
    </row>
    <row r="7" spans="2:10" ht="30" customHeight="1" x14ac:dyDescent="0.25">
      <c r="B7" s="19"/>
      <c r="C7" s="20" t="s">
        <v>82</v>
      </c>
      <c r="D7" s="21" t="s">
        <v>70</v>
      </c>
      <c r="E7" s="20" t="s">
        <v>4</v>
      </c>
      <c r="F7" s="21" t="s">
        <v>335</v>
      </c>
      <c r="G7" s="20" t="s">
        <v>84</v>
      </c>
    </row>
    <row r="8" spans="2:10" x14ac:dyDescent="0.25">
      <c r="B8" s="14" t="s">
        <v>78</v>
      </c>
      <c r="C8" s="33">
        <f>SUM(Table1[ServedSAq])</f>
        <v>0</v>
      </c>
      <c r="D8" s="33">
        <f>SUM(Table1[ServedDVq])</f>
        <v>0</v>
      </c>
      <c r="E8" s="33">
        <f>SUM(Table1[ServedSTq])</f>
        <v>0</v>
      </c>
      <c r="F8" s="33">
        <f>SUM(Table1[ServedFGMq])</f>
        <v>0</v>
      </c>
      <c r="G8" s="44">
        <f>SUM(C8:F8)</f>
        <v>0</v>
      </c>
    </row>
    <row r="9" spans="2:10" x14ac:dyDescent="0.25">
      <c r="B9" s="14" t="s">
        <v>79</v>
      </c>
      <c r="C9" s="33">
        <f>SUM(Table1[PartialSAq])</f>
        <v>0</v>
      </c>
      <c r="D9" s="33">
        <f>SUM(Table1[PartialDVq])</f>
        <v>0</v>
      </c>
      <c r="E9" s="33">
        <f>SUM(Table1[PartialSTq])</f>
        <v>0</v>
      </c>
      <c r="F9" s="33">
        <f>SUM(Table1[PartialFGMq])</f>
        <v>0</v>
      </c>
      <c r="G9" s="44">
        <f>SUM(C9:F9)</f>
        <v>0</v>
      </c>
    </row>
    <row r="10" spans="2:10" ht="30" x14ac:dyDescent="0.25">
      <c r="B10" s="42" t="s">
        <v>80</v>
      </c>
      <c r="C10" s="43">
        <f>SUM(C8:C9)</f>
        <v>0</v>
      </c>
      <c r="D10" s="43">
        <f>SUM(D8:D9)</f>
        <v>0</v>
      </c>
      <c r="E10" s="43">
        <f>SUM(E8:E9)</f>
        <v>0</v>
      </c>
      <c r="F10" s="43">
        <f>SUM(F8:F9)</f>
        <v>0</v>
      </c>
      <c r="G10" s="44">
        <f>SUM(C10:F10)</f>
        <v>0</v>
      </c>
    </row>
    <row r="11" spans="2:10" ht="30" customHeight="1" x14ac:dyDescent="0.25">
      <c r="B11" s="15" t="s">
        <v>81</v>
      </c>
      <c r="C11" s="34">
        <f>SUM(Table8[CountSAq])</f>
        <v>0</v>
      </c>
      <c r="D11" s="34">
        <f>SUM(Table8[CountDVq])</f>
        <v>0</v>
      </c>
      <c r="E11" s="34">
        <f>SUM(Table8[CountSTq])</f>
        <v>0</v>
      </c>
      <c r="F11" s="34">
        <f>SUM(Table8[CountFGMq])</f>
        <v>0</v>
      </c>
      <c r="G11" s="45">
        <f>SUM(C11:F11)</f>
        <v>0</v>
      </c>
    </row>
    <row r="13" spans="2:10" x14ac:dyDescent="0.25">
      <c r="B13" s="1" t="s">
        <v>344</v>
      </c>
    </row>
    <row r="14" spans="2:10" x14ac:dyDescent="0.25">
      <c r="B14" s="19"/>
      <c r="C14" s="18" t="s">
        <v>107</v>
      </c>
    </row>
    <row r="15" spans="2:10" x14ac:dyDescent="0.25">
      <c r="B15" s="46" t="s">
        <v>84</v>
      </c>
      <c r="C15" s="32">
        <f>SUM(Table1[CountSecondaryq])</f>
        <v>0</v>
      </c>
    </row>
    <row r="17" spans="2:3" x14ac:dyDescent="0.25">
      <c r="B17" s="13" t="s">
        <v>351</v>
      </c>
    </row>
    <row r="18" spans="2:3" ht="30" x14ac:dyDescent="0.25">
      <c r="B18" s="19"/>
      <c r="C18" s="21" t="s">
        <v>375</v>
      </c>
    </row>
    <row r="19" spans="2:3" ht="15" customHeight="1" x14ac:dyDescent="0.25">
      <c r="B19" s="16" t="s">
        <v>2</v>
      </c>
      <c r="C19" s="35" t="str">
        <f>IF(SUM(Table1[AddSAq])&gt;0,"a","")</f>
        <v/>
      </c>
    </row>
    <row r="20" spans="2:3" ht="15" customHeight="1" x14ac:dyDescent="0.25">
      <c r="B20" s="14" t="s">
        <v>83</v>
      </c>
      <c r="C20" s="35" t="str">
        <f>IF(SUM(Table1[AddDVq])&gt;0,"a","")</f>
        <v/>
      </c>
    </row>
    <row r="21" spans="2:3" ht="15" customHeight="1" x14ac:dyDescent="0.25">
      <c r="B21" s="14" t="s">
        <v>4</v>
      </c>
      <c r="C21" s="35" t="str">
        <f>IF(SUM(Table1[AddStalkq])&gt;0,"a","")</f>
        <v/>
      </c>
    </row>
    <row r="22" spans="2:3" ht="15" customHeight="1" x14ac:dyDescent="0.25">
      <c r="B22" s="16" t="s">
        <v>352</v>
      </c>
      <c r="C22" s="35" t="str">
        <f>IF(SUM(Table1[AddFGMq])&gt;0,"a","")</f>
        <v/>
      </c>
    </row>
    <row r="23" spans="2:3" ht="15" customHeight="1" x14ac:dyDescent="0.25">
      <c r="B23" s="16" t="s">
        <v>353</v>
      </c>
      <c r="C23" s="35" t="str">
        <f>IF(SUM(Table1[AddCSAq])&gt;0,"a","")</f>
        <v/>
      </c>
    </row>
    <row r="24" spans="2:3" ht="15" customHeight="1" x14ac:dyDescent="0.25">
      <c r="B24" s="16" t="s">
        <v>354</v>
      </c>
      <c r="C24" s="35" t="str">
        <f>IF(SUM(Table1[AddSexTq])&gt;0,"a","")</f>
        <v/>
      </c>
    </row>
    <row r="25" spans="2:3" ht="15" customHeight="1" x14ac:dyDescent="0.25">
      <c r="B25" s="16" t="s">
        <v>355</v>
      </c>
      <c r="C25" s="35" t="str">
        <f>IF(SUM(Table1[AddLaborTq])&gt;0,"a","")</f>
        <v/>
      </c>
    </row>
    <row r="26" spans="2:3" ht="15" customHeight="1" x14ac:dyDescent="0.25">
      <c r="B26" s="16" t="s">
        <v>348</v>
      </c>
      <c r="C26" s="35" t="str">
        <f>IF(SUM(Table1[AddEconq])&gt;0,"a","")</f>
        <v/>
      </c>
    </row>
    <row r="27" spans="2:3" ht="15" customHeight="1" x14ac:dyDescent="0.25">
      <c r="B27" s="16" t="s">
        <v>349</v>
      </c>
      <c r="C27" s="35" t="str">
        <f>IF(SUM(Table1[AddTechq])&gt;0,"a","")</f>
        <v/>
      </c>
    </row>
    <row r="28" spans="2:3" ht="15" customHeight="1" x14ac:dyDescent="0.25">
      <c r="B28" s="15" t="s">
        <v>350</v>
      </c>
      <c r="C28" s="36" t="str">
        <f>IF(SUM(Table1[AddFMq])&gt;0,"a","")</f>
        <v/>
      </c>
    </row>
    <row r="29" spans="2:3" x14ac:dyDescent="0.25">
      <c r="B29" s="13"/>
    </row>
    <row r="30" spans="2:3" x14ac:dyDescent="0.25">
      <c r="B30" s="13" t="s">
        <v>376</v>
      </c>
    </row>
    <row r="31" spans="2:3" x14ac:dyDescent="0.25">
      <c r="B31" s="19"/>
      <c r="C31" s="18" t="s">
        <v>107</v>
      </c>
    </row>
    <row r="32" spans="2:3" x14ac:dyDescent="0.25">
      <c r="B32" s="14" t="s">
        <v>82</v>
      </c>
      <c r="C32" s="27">
        <f>SUM(Table9[SAFlagq])</f>
        <v>0</v>
      </c>
    </row>
    <row r="33" spans="2:4" x14ac:dyDescent="0.25">
      <c r="B33" s="14" t="s">
        <v>83</v>
      </c>
      <c r="C33" s="27">
        <f>SUM(Table9[DVFlagq])</f>
        <v>0</v>
      </c>
    </row>
    <row r="34" spans="2:4" x14ac:dyDescent="0.25">
      <c r="B34" s="14" t="s">
        <v>4</v>
      </c>
      <c r="C34" s="27">
        <f>SUM(Table9[STFlagq])</f>
        <v>0</v>
      </c>
    </row>
    <row r="35" spans="2:4" x14ac:dyDescent="0.25">
      <c r="B35" s="14" t="s">
        <v>335</v>
      </c>
      <c r="C35" s="27">
        <f>SUM(Table9[FGMFlagq])</f>
        <v>0</v>
      </c>
    </row>
    <row r="36" spans="2:4" x14ac:dyDescent="0.25">
      <c r="B36" s="46" t="s">
        <v>84</v>
      </c>
      <c r="C36" s="47">
        <f>SUM(C32:C35)</f>
        <v>0</v>
      </c>
    </row>
    <row r="38" spans="2:4" x14ac:dyDescent="0.25">
      <c r="B38" s="1" t="s">
        <v>379</v>
      </c>
    </row>
    <row r="39" spans="2:4" x14ac:dyDescent="0.25">
      <c r="B39" s="19"/>
      <c r="C39" s="20" t="s">
        <v>85</v>
      </c>
      <c r="D39" s="18" t="s">
        <v>86</v>
      </c>
    </row>
    <row r="40" spans="2:4" ht="20.25" x14ac:dyDescent="0.25">
      <c r="B40" s="16" t="s">
        <v>6</v>
      </c>
      <c r="C40" s="35" t="str">
        <f>IF(SUM(Table1[ConflictCountq])&gt;0,"a","")</f>
        <v/>
      </c>
      <c r="D40" s="35" t="str">
        <f>IF(SUM(Table8[ConflictCountq])&gt;0,"a","")</f>
        <v/>
      </c>
    </row>
    <row r="41" spans="2:4" ht="30" x14ac:dyDescent="0.25">
      <c r="B41" s="16" t="s">
        <v>5</v>
      </c>
      <c r="C41" s="35" t="str">
        <f>IF(SUM(Table1[StatuteCountq])&gt;0,"a","")</f>
        <v/>
      </c>
      <c r="D41" s="35" t="str">
        <f>IF(SUM(Table8[StatuteCountq])&gt;0,"a","")</f>
        <v/>
      </c>
    </row>
    <row r="42" spans="2:4" ht="20.25" x14ac:dyDescent="0.25">
      <c r="B42" s="16" t="s">
        <v>7</v>
      </c>
      <c r="C42" s="35" t="str">
        <f>IF(SUM(Table1[HoursCountq])&gt;0,"a","")</f>
        <v/>
      </c>
      <c r="D42" s="35" t="str">
        <f>IF(SUM(Table8[HoursCountq])&gt;0,"a","")</f>
        <v/>
      </c>
    </row>
    <row r="43" spans="2:4" ht="30" x14ac:dyDescent="0.25">
      <c r="B43" s="16" t="s">
        <v>8</v>
      </c>
      <c r="C43" s="35" t="str">
        <f>IF(SUM(Table1[CulturalCountq])&gt;0,"a","")</f>
        <v/>
      </c>
      <c r="D43" s="35" t="str">
        <f>IF(SUM(Table8[CulturalCountq])&gt;0,"a","")</f>
        <v/>
      </c>
    </row>
    <row r="44" spans="2:4" ht="30" x14ac:dyDescent="0.25">
      <c r="B44" s="16" t="s">
        <v>9</v>
      </c>
      <c r="C44" s="35" t="str">
        <f>IF(SUM(Table1[LanguageCountq])&gt;0,"a","")</f>
        <v/>
      </c>
      <c r="D44" s="35" t="str">
        <f>IF(SUM(Table8[LanguageCountq])&gt;0,"a","")</f>
        <v/>
      </c>
    </row>
    <row r="45" spans="2:4" ht="30" x14ac:dyDescent="0.25">
      <c r="B45" s="16" t="s">
        <v>10</v>
      </c>
      <c r="C45" s="35" t="str">
        <f>IF(SUM(Table1[DisabilitiesCountq])&gt;0,"a","")</f>
        <v/>
      </c>
      <c r="D45" s="35" t="str">
        <f>IF(SUM(Table8[DisabilitiesCountq])&gt;0,"a","")</f>
        <v/>
      </c>
    </row>
    <row r="46" spans="2:4" ht="45" x14ac:dyDescent="0.25">
      <c r="B46" s="16" t="s">
        <v>384</v>
      </c>
      <c r="C46" s="35" t="str">
        <f>IF(SUM(Table1[DeafCountq])&gt;0,"a","")</f>
        <v/>
      </c>
      <c r="D46" s="35" t="str">
        <f>IF(SUM(Table8[DeafCountq])&gt;0,"a","")</f>
        <v/>
      </c>
    </row>
    <row r="47" spans="2:4" ht="20.25" x14ac:dyDescent="0.25">
      <c r="B47" s="16" t="s">
        <v>11</v>
      </c>
      <c r="C47" s="35" t="str">
        <f>IF(SUM(Table1[ChildcareCountq])&gt;0,"a","")</f>
        <v/>
      </c>
      <c r="D47" s="35" t="str">
        <f>IF(SUM(Table8[ChildcareCountq])&gt;0,"a","")</f>
        <v/>
      </c>
    </row>
    <row r="48" spans="2:4" ht="20.25" x14ac:dyDescent="0.25">
      <c r="B48" s="16" t="s">
        <v>12</v>
      </c>
      <c r="C48" s="35" t="str">
        <f>IF(SUM(Table1[CapacityCountq])&gt;0,"a","")</f>
        <v/>
      </c>
      <c r="D48" s="35" t="str">
        <f>IF(SUM(Table8[CapacityCountq])&gt;0,"a","")</f>
        <v/>
      </c>
    </row>
    <row r="49" spans="2:4" ht="30" x14ac:dyDescent="0.25">
      <c r="B49" s="16" t="s">
        <v>13</v>
      </c>
      <c r="C49" s="35" t="str">
        <f>IF(SUM(Table1[RulesCountq])&gt;0,"a","")</f>
        <v/>
      </c>
      <c r="D49" s="35" t="str">
        <f>IF(SUM(Table8[RulesCountq])&gt;0,"a","")</f>
        <v/>
      </c>
    </row>
    <row r="50" spans="2:4" ht="45" x14ac:dyDescent="0.25">
      <c r="B50" s="16" t="s">
        <v>14</v>
      </c>
      <c r="C50" s="35" t="str">
        <f>IF(SUM(Table1[ResourcesCountq])&gt;0,"a","")</f>
        <v/>
      </c>
      <c r="D50" s="35" t="str">
        <f>IF(SUM(Table8[ResourcesCountq])&gt;0,"a","")</f>
        <v/>
      </c>
    </row>
    <row r="51" spans="2:4" ht="45" x14ac:dyDescent="0.25">
      <c r="B51" s="16" t="s">
        <v>15</v>
      </c>
      <c r="C51" s="35" t="str">
        <f>IF(SUM(Table1[MHCountq])&gt;0,"a","")</f>
        <v/>
      </c>
      <c r="D51" s="35" t="str">
        <f>IF(SUM(Table8[MHCountq])&gt;0,"a","")</f>
        <v/>
      </c>
    </row>
    <row r="52" spans="2:4" ht="45" x14ac:dyDescent="0.25">
      <c r="B52" s="16" t="s">
        <v>16</v>
      </c>
      <c r="C52" s="35" t="str">
        <f>IF(SUM(Table1[SACountq])&gt;0,"a","")</f>
        <v/>
      </c>
      <c r="D52" s="35" t="str">
        <f>IF(SUM(Table8[SACountq])&gt;0,"a","")</f>
        <v/>
      </c>
    </row>
    <row r="53" spans="2:4" ht="30" x14ac:dyDescent="0.25">
      <c r="B53" s="16" t="s">
        <v>17</v>
      </c>
      <c r="C53" s="35" t="str">
        <f>IF(SUM(Table1[NACountq])&gt;0,"a","")</f>
        <v/>
      </c>
      <c r="D53" s="35" t="str">
        <f>IF(SUM(Table8[NACountq])&gt;0,"a","")</f>
        <v/>
      </c>
    </row>
    <row r="54" spans="2:4" ht="45" x14ac:dyDescent="0.25">
      <c r="B54" s="16" t="s">
        <v>18</v>
      </c>
      <c r="C54" s="35" t="str">
        <f>IF(SUM(Table1[MaleCountq])&gt;0,"a","")</f>
        <v/>
      </c>
      <c r="D54" s="35" t="str">
        <f>IF(SUM(Table8[MaleCountq])&gt;0,"a","")</f>
        <v/>
      </c>
    </row>
    <row r="55" spans="2:4" ht="20.25" x14ac:dyDescent="0.25">
      <c r="B55" s="16" t="s">
        <v>19</v>
      </c>
      <c r="C55" s="35" t="str">
        <f>IF(SUM(Table1[TransportationCountq])&gt;0,"a","")</f>
        <v/>
      </c>
      <c r="D55" s="35" t="str">
        <f>IF(SUM(Table8[TransportationCountq])&gt;0,"a","")</f>
        <v/>
      </c>
    </row>
    <row r="56" spans="2:4" ht="20.25" x14ac:dyDescent="0.25">
      <c r="B56" s="15" t="s">
        <v>20</v>
      </c>
      <c r="C56" s="36" t="str">
        <f>IF(SUM(Table1[OtherCountq])&gt;0,"a","")</f>
        <v/>
      </c>
      <c r="D56" s="36" t="str">
        <f>IF(SUM(Table8[OtherCountq])&gt;0,"a","")</f>
        <v/>
      </c>
    </row>
    <row r="58" spans="2:4" x14ac:dyDescent="0.25">
      <c r="B58" s="13" t="s">
        <v>388</v>
      </c>
    </row>
    <row r="59" spans="2:4" x14ac:dyDescent="0.25">
      <c r="B59" s="19"/>
      <c r="C59" s="18" t="s">
        <v>107</v>
      </c>
    </row>
    <row r="60" spans="2:4" x14ac:dyDescent="0.25">
      <c r="B60" s="24" t="s">
        <v>389</v>
      </c>
      <c r="C60" s="22"/>
    </row>
    <row r="61" spans="2:4" x14ac:dyDescent="0.25">
      <c r="B61" s="16" t="s">
        <v>87</v>
      </c>
      <c r="C61" s="31">
        <f>SUM(Table1[AIANq])</f>
        <v>0</v>
      </c>
    </row>
    <row r="62" spans="2:4" x14ac:dyDescent="0.25">
      <c r="B62" s="16" t="s">
        <v>35</v>
      </c>
      <c r="C62" s="31">
        <f>SUM(Table1[Asian2q])</f>
        <v>0</v>
      </c>
    </row>
    <row r="63" spans="2:4" x14ac:dyDescent="0.25">
      <c r="B63" s="16" t="s">
        <v>36</v>
      </c>
      <c r="C63" s="31">
        <f>SUM(Table1[Blackq])</f>
        <v>0</v>
      </c>
    </row>
    <row r="64" spans="2:4" x14ac:dyDescent="0.25">
      <c r="B64" s="16" t="s">
        <v>88</v>
      </c>
      <c r="C64" s="31">
        <f>SUM(Table1[Hispanicq])</f>
        <v>0</v>
      </c>
    </row>
    <row r="65" spans="2:3" x14ac:dyDescent="0.25">
      <c r="B65" s="16" t="s">
        <v>380</v>
      </c>
      <c r="C65" s="31">
        <f>SUM(Table1[MENAq])</f>
        <v>0</v>
      </c>
    </row>
    <row r="66" spans="2:3" ht="30" x14ac:dyDescent="0.25">
      <c r="B66" s="16" t="s">
        <v>89</v>
      </c>
      <c r="C66" s="31">
        <f>SUM(Table1[Piq])</f>
        <v>0</v>
      </c>
    </row>
    <row r="67" spans="2:3" x14ac:dyDescent="0.25">
      <c r="B67" s="16" t="s">
        <v>37</v>
      </c>
      <c r="C67" s="31">
        <f>SUM(Table1[White2q])</f>
        <v>0</v>
      </c>
    </row>
    <row r="68" spans="2:3" x14ac:dyDescent="0.25">
      <c r="B68" s="16" t="s">
        <v>90</v>
      </c>
      <c r="C68" s="31">
        <f>SUM(Table1[OtherRaceq])</f>
        <v>0</v>
      </c>
    </row>
    <row r="69" spans="2:3" x14ac:dyDescent="0.25">
      <c r="B69" s="16" t="s">
        <v>25</v>
      </c>
      <c r="C69" s="31">
        <f>SUM(Table1[UnknownRaceq])</f>
        <v>0</v>
      </c>
    </row>
    <row r="70" spans="2:3" x14ac:dyDescent="0.25">
      <c r="B70" s="24" t="s">
        <v>390</v>
      </c>
      <c r="C70" s="22"/>
    </row>
    <row r="71" spans="2:3" x14ac:dyDescent="0.25">
      <c r="B71" s="16" t="s">
        <v>22</v>
      </c>
      <c r="C71" s="31">
        <f>SUM(Table1[Femaleq])</f>
        <v>0</v>
      </c>
    </row>
    <row r="72" spans="2:3" x14ac:dyDescent="0.25">
      <c r="B72" s="16" t="s">
        <v>23</v>
      </c>
      <c r="C72" s="31">
        <f>SUM(Table1[Maleq])</f>
        <v>0</v>
      </c>
    </row>
    <row r="73" spans="2:3" ht="30" x14ac:dyDescent="0.25">
      <c r="B73" s="16" t="s">
        <v>24</v>
      </c>
      <c r="C73" s="31">
        <f>SUM(Table1[Transgenderq])</f>
        <v>0</v>
      </c>
    </row>
    <row r="74" spans="2:3" x14ac:dyDescent="0.25">
      <c r="B74" s="16" t="s">
        <v>387</v>
      </c>
      <c r="C74" s="31">
        <f>SUM(Table1[TwoSpiritq])</f>
        <v>0</v>
      </c>
    </row>
    <row r="75" spans="2:3" x14ac:dyDescent="0.25">
      <c r="B75" s="16" t="s">
        <v>20</v>
      </c>
      <c r="C75" s="31">
        <f>SUM(Table1[OtherGenderq])</f>
        <v>0</v>
      </c>
    </row>
    <row r="76" spans="2:3" x14ac:dyDescent="0.25">
      <c r="B76" s="16" t="s">
        <v>25</v>
      </c>
      <c r="C76" s="31">
        <f>SUM(Table1[UnknownGenderq])</f>
        <v>0</v>
      </c>
    </row>
    <row r="77" spans="2:3" x14ac:dyDescent="0.25">
      <c r="B77" s="24" t="s">
        <v>391</v>
      </c>
      <c r="C77" s="22"/>
    </row>
    <row r="78" spans="2:3" x14ac:dyDescent="0.25">
      <c r="B78" s="16" t="s">
        <v>27</v>
      </c>
      <c r="C78" s="27">
        <f>SUM(Table1[Age1q])</f>
        <v>0</v>
      </c>
    </row>
    <row r="79" spans="2:3" x14ac:dyDescent="0.25">
      <c r="B79" s="16" t="s">
        <v>28</v>
      </c>
      <c r="C79" s="27">
        <f>SUM(Table1[Age2q])</f>
        <v>0</v>
      </c>
    </row>
    <row r="80" spans="2:3" x14ac:dyDescent="0.25">
      <c r="B80" s="16" t="s">
        <v>29</v>
      </c>
      <c r="C80" s="27">
        <f>SUM(Table1[Age3q])</f>
        <v>0</v>
      </c>
    </row>
    <row r="81" spans="2:6" x14ac:dyDescent="0.25">
      <c r="B81" s="16" t="s">
        <v>30</v>
      </c>
      <c r="C81" s="27">
        <f>SUM(Table1[Age4q])</f>
        <v>0</v>
      </c>
    </row>
    <row r="82" spans="2:6" x14ac:dyDescent="0.25">
      <c r="B82" s="16" t="s">
        <v>25</v>
      </c>
      <c r="C82" s="27">
        <f>SUM(Table1[UnknownAgeq])</f>
        <v>0</v>
      </c>
    </row>
    <row r="83" spans="2:6" x14ac:dyDescent="0.25">
      <c r="B83" s="24" t="s">
        <v>392</v>
      </c>
      <c r="C83" s="22"/>
    </row>
    <row r="84" spans="2:6" x14ac:dyDescent="0.25">
      <c r="B84" s="16" t="s">
        <v>91</v>
      </c>
      <c r="C84" s="31">
        <f>SUM(Table1[LGBTQ2q])</f>
        <v>0</v>
      </c>
    </row>
    <row r="85" spans="2:6" x14ac:dyDescent="0.25">
      <c r="B85" s="16" t="s">
        <v>92</v>
      </c>
      <c r="C85" s="31">
        <f>SUM(Table1[Disabledq])</f>
        <v>0</v>
      </c>
    </row>
    <row r="86" spans="2:6" ht="30" x14ac:dyDescent="0.25">
      <c r="B86" s="16" t="s">
        <v>393</v>
      </c>
      <c r="C86" s="31">
        <f>SUM(Table1[LEPq])</f>
        <v>0</v>
      </c>
    </row>
    <row r="87" spans="2:6" x14ac:dyDescent="0.25">
      <c r="B87" s="16" t="s">
        <v>394</v>
      </c>
      <c r="C87" s="31">
        <f>SUM(Table1[Deafq])</f>
        <v>0</v>
      </c>
    </row>
    <row r="88" spans="2:6" ht="30" x14ac:dyDescent="0.25">
      <c r="B88" s="16" t="s">
        <v>93</v>
      </c>
      <c r="C88" s="31">
        <f>SUM(Table1[Immigrantq])</f>
        <v>0</v>
      </c>
    </row>
    <row r="89" spans="2:6" ht="30" x14ac:dyDescent="0.25">
      <c r="B89" s="16" t="s">
        <v>395</v>
      </c>
      <c r="C89" s="31">
        <f>SUM(Table1[Correctionq])</f>
        <v>0</v>
      </c>
    </row>
    <row r="90" spans="2:6" x14ac:dyDescent="0.25">
      <c r="B90" s="15" t="s">
        <v>94</v>
      </c>
      <c r="C90" s="32">
        <f>SUM(Table1[Ruralq])</f>
        <v>0</v>
      </c>
    </row>
    <row r="92" spans="2:6" x14ac:dyDescent="0.25">
      <c r="B92" s="1" t="s">
        <v>432</v>
      </c>
    </row>
    <row r="93" spans="2:6" ht="30" customHeight="1" x14ac:dyDescent="0.25">
      <c r="B93" s="19"/>
      <c r="C93" s="20" t="s">
        <v>82</v>
      </c>
      <c r="D93" s="21" t="s">
        <v>70</v>
      </c>
      <c r="E93" s="21" t="s">
        <v>4</v>
      </c>
      <c r="F93" s="23" t="s">
        <v>352</v>
      </c>
    </row>
    <row r="94" spans="2:6" ht="30" x14ac:dyDescent="0.25">
      <c r="B94" s="16" t="s">
        <v>41</v>
      </c>
      <c r="C94" s="33">
        <f>SUM(Table2[CountSASpouseq])</f>
        <v>0</v>
      </c>
      <c r="D94" s="33">
        <f>SUM(Table2[CountDVSpouseq])</f>
        <v>0</v>
      </c>
      <c r="E94" s="33">
        <f>SUM(Table2[CountSTSpouseq])</f>
        <v>0</v>
      </c>
      <c r="F94" s="31">
        <f>SUM(Table2[CountFGMSpouseq])</f>
        <v>0</v>
      </c>
    </row>
    <row r="95" spans="2:6" x14ac:dyDescent="0.25">
      <c r="B95" s="14" t="s">
        <v>42</v>
      </c>
      <c r="C95" s="33">
        <f>SUM(Table2[CountSAFamilyq])</f>
        <v>0</v>
      </c>
      <c r="D95" s="33">
        <f>SUM(Table2[CountDVFamilyq])</f>
        <v>0</v>
      </c>
      <c r="E95" s="33">
        <f>SUM(Table2[CountSTFamilyq])</f>
        <v>0</v>
      </c>
      <c r="F95" s="31">
        <f>SUM(Table2[CountFGMFamilyq])</f>
        <v>0</v>
      </c>
    </row>
    <row r="96" spans="2:6" x14ac:dyDescent="0.25">
      <c r="B96" s="14" t="s">
        <v>43</v>
      </c>
      <c r="C96" s="33">
        <f>SUM(Table2[CountSADatingq])</f>
        <v>0</v>
      </c>
      <c r="D96" s="33">
        <f>SUM(Table2[CountDVDatingq])</f>
        <v>0</v>
      </c>
      <c r="E96" s="33">
        <f>SUM(Table2[CountSTDatingq])</f>
        <v>0</v>
      </c>
      <c r="F96" s="31">
        <f>SUM(Table2[CountFGMDatingq])</f>
        <v>0</v>
      </c>
    </row>
    <row r="97" spans="2:6" x14ac:dyDescent="0.25">
      <c r="B97" s="14" t="s">
        <v>45</v>
      </c>
      <c r="C97" s="33">
        <f>SUM(Table2[CountSAAcquaintanceq])</f>
        <v>0</v>
      </c>
      <c r="D97" s="33">
        <f>SUM(Table2[CountDVAcquaintanceq])</f>
        <v>0</v>
      </c>
      <c r="E97" s="33">
        <f>SUM(Table2[CountSTAcquaintanceq])</f>
        <v>0</v>
      </c>
      <c r="F97" s="31">
        <f>SUM(Table2[CountFGMAcquaintanceq])</f>
        <v>0</v>
      </c>
    </row>
    <row r="98" spans="2:6" x14ac:dyDescent="0.25">
      <c r="B98" s="14" t="s">
        <v>46</v>
      </c>
      <c r="C98" s="33">
        <f>SUM(Table2[CountSAStrangerq])</f>
        <v>0</v>
      </c>
      <c r="D98" s="33">
        <f>SUM(Table2[CountDVStrangerq])</f>
        <v>0</v>
      </c>
      <c r="E98" s="33">
        <f>SUM(Table2[CountSTStrangerq])</f>
        <v>0</v>
      </c>
      <c r="F98" s="31">
        <f>SUM(Table2[CountFGMStrangerq])</f>
        <v>0</v>
      </c>
    </row>
    <row r="99" spans="2:6" x14ac:dyDescent="0.25">
      <c r="B99" s="14" t="s">
        <v>20</v>
      </c>
      <c r="C99" s="33">
        <f>SUM(Table2[CountSAOtherq])</f>
        <v>0</v>
      </c>
      <c r="D99" s="33">
        <f>SUM(Table2[CountDVOtherq])</f>
        <v>0</v>
      </c>
      <c r="E99" s="33">
        <f>SUM(Table2[CountSTOtherq])</f>
        <v>0</v>
      </c>
      <c r="F99" s="31">
        <f>SUM(Table2[CountFGMOtherq])</f>
        <v>0</v>
      </c>
    </row>
    <row r="100" spans="2:6" x14ac:dyDescent="0.25">
      <c r="B100" s="14" t="s">
        <v>25</v>
      </c>
      <c r="C100" s="33">
        <f>SUM(Table2[CountSAUnknownq])</f>
        <v>0</v>
      </c>
      <c r="D100" s="33">
        <f>SUM(Table2[CountDVUnknownq])</f>
        <v>0</v>
      </c>
      <c r="E100" s="33">
        <f>SUM(Table2[CountSTUnknownq])</f>
        <v>0</v>
      </c>
      <c r="F100" s="31">
        <f>SUM(Table2[CountFGMUnknownq])</f>
        <v>0</v>
      </c>
    </row>
    <row r="101" spans="2:6" x14ac:dyDescent="0.25">
      <c r="B101" s="46" t="s">
        <v>84</v>
      </c>
      <c r="C101" s="48">
        <f>SUM(C94:C100)</f>
        <v>0</v>
      </c>
      <c r="D101" s="48">
        <f>SUM(D94:D100)</f>
        <v>0</v>
      </c>
      <c r="E101" s="48">
        <f>SUM(E94:E100)</f>
        <v>0</v>
      </c>
      <c r="F101" s="45">
        <f>SUM(F94:F100)</f>
        <v>0</v>
      </c>
    </row>
    <row r="103" spans="2:6" x14ac:dyDescent="0.25">
      <c r="B103" s="1" t="s">
        <v>436</v>
      </c>
    </row>
    <row r="104" spans="2:6" ht="45" x14ac:dyDescent="0.25">
      <c r="B104" s="19"/>
      <c r="C104" s="21" t="s">
        <v>95</v>
      </c>
      <c r="D104" s="23" t="s">
        <v>96</v>
      </c>
    </row>
    <row r="105" spans="2:6" ht="30" x14ac:dyDescent="0.25">
      <c r="B105" s="16" t="s">
        <v>51</v>
      </c>
      <c r="C105" s="33">
        <f t="array" ref="C105">SUM(--(FREQUENCY(IF((Table3[Quarter]=1)*(Table3[Service Received]=B105),MATCH(Table3[Client '#],Table3[Client '#],0)),ROW(Table3[Client '#])-ROW('Service Log'!$A$3)+1)&gt;0))</f>
        <v>0</v>
      </c>
      <c r="D105" s="31">
        <f>SUM(Table3[CountCivilq])</f>
        <v>0</v>
      </c>
    </row>
    <row r="106" spans="2:6" x14ac:dyDescent="0.25">
      <c r="B106" s="16" t="s">
        <v>52</v>
      </c>
      <c r="C106" s="33">
        <f t="array" ref="C106">SUM(--(FREQUENCY(IF((Table3[Quarter]=1)*(Table3[Service Received]=B106),MATCH(Table3[Client '#],Table3[Client '#],0)),ROW(Table3[Client '#])-ROW('Service Log'!$A$3)+1)&gt;0))</f>
        <v>0</v>
      </c>
      <c r="D106" s="31">
        <f>SUM(Table3[CountCounselingq])</f>
        <v>0</v>
      </c>
    </row>
    <row r="107" spans="2:6" ht="30" x14ac:dyDescent="0.25">
      <c r="B107" s="16" t="s">
        <v>53</v>
      </c>
      <c r="C107" s="33">
        <f t="array" ref="C107">SUM(--(FREQUENCY(IF((Table3[Quarter]=1)*(Table3[Service Received]=B107),MATCH(Table3[Client '#],Table3[Client '#],0)),ROW(Table3[Client '#])-ROW('Service Log'!$A$3)+1)&gt;0))</f>
        <v>0</v>
      </c>
      <c r="D107" s="31">
        <f>SUM(Table3[CountCriminalq])</f>
        <v>0</v>
      </c>
    </row>
    <row r="108" spans="2:6" x14ac:dyDescent="0.25">
      <c r="B108" s="16" t="s">
        <v>54</v>
      </c>
      <c r="C108" s="33">
        <f t="array" ref="C108">SUM(--(FREQUENCY(IF((Table3[Quarter]=1)*(Table3[Service Received]=B108),MATCH(Table3[Client '#],Table3[Client '#],0)),ROW(Table3[Client '#])-ROW('Service Log'!$A$3)+1)&gt;0))</f>
        <v>0</v>
      </c>
      <c r="D108" s="31">
        <f>SUM(Table3[CountCrisisq])</f>
        <v>0</v>
      </c>
    </row>
    <row r="109" spans="2:6" x14ac:dyDescent="0.25">
      <c r="B109" s="16" t="s">
        <v>433</v>
      </c>
      <c r="C109" s="33">
        <f t="array" ref="C109">SUM(--(FREQUENCY(IF((Table3[Quarter]=1)*(Table3[Service Received]=B109),MATCH(Table3[Client '#],Table3[Client '#],0)),ROW(Table3[Client '#])-ROW('Service Log'!$A$3)+1)&gt;0))</f>
        <v>0</v>
      </c>
      <c r="D109" s="31">
        <f>SUM(Table3[CountCulturalq])</f>
        <v>0</v>
      </c>
    </row>
    <row r="110" spans="2:6" x14ac:dyDescent="0.25">
      <c r="B110" s="16" t="s">
        <v>55</v>
      </c>
      <c r="C110" s="33">
        <f t="array" ref="C110">SUM(--(FREQUENCY(IF((Table3[Quarter]=1)*(Table3[Service Received]=B110),MATCH(Table3[Client '#],Table3[Client '#],0)),ROW(Table3[Client '#])-ROW('Service Log'!$A$3)+1)&gt;0))</f>
        <v>0</v>
      </c>
      <c r="D110" s="31">
        <f>SUM(Table3[CountForensicq])</f>
        <v>0</v>
      </c>
    </row>
    <row r="111" spans="2:6" ht="30" x14ac:dyDescent="0.25">
      <c r="B111" s="16" t="s">
        <v>56</v>
      </c>
      <c r="C111" s="33">
        <f t="array" ref="C111">SUM(--(FREQUENCY(IF((Table3[Quarter]=1)*(Table3[Service Received]=B111),MATCH(Table3[Client '#],Table3[Client '#],0)),ROW(Table3[Client '#])-ROW('Service Log'!$A$3)+1)&gt;0))</f>
        <v>0</v>
      </c>
      <c r="D111" s="31">
        <f>SUM(Table3[CountHospitalq])</f>
        <v>0</v>
      </c>
    </row>
    <row r="112" spans="2:6" x14ac:dyDescent="0.25">
      <c r="B112" s="16" t="s">
        <v>57</v>
      </c>
      <c r="C112" s="33">
        <f t="array" ref="C112">SUM(--(FREQUENCY(IF((Table3[Quarter]=1)*(Table3[Service Received]=B112),MATCH(Table3[Client '#],Table3[Client '#],0)),ROW(Table3[Client '#])-ROW('Service Log'!$A$3)+1)&gt;0))</f>
        <v>0</v>
      </c>
      <c r="D112" s="31">
        <f>SUM(Table3[CountLanguageq])</f>
        <v>0</v>
      </c>
    </row>
    <row r="113" spans="2:5" x14ac:dyDescent="0.25">
      <c r="B113" s="16" t="s">
        <v>19</v>
      </c>
      <c r="C113" s="33">
        <f t="array" ref="C113">SUM(--(FREQUENCY(IF((Table3[Quarter]=1)*(Table3[Service Received]=B113),MATCH(Table3[Client '#],Table3[Client '#],0)),ROW(Table3[Client '#])-ROW('Service Log'!$A$3)+1)&gt;0))</f>
        <v>0</v>
      </c>
      <c r="D113" s="31">
        <f>SUM(Table3[CountTransportationq])</f>
        <v>0</v>
      </c>
    </row>
    <row r="114" spans="2:5" x14ac:dyDescent="0.25">
      <c r="B114" s="16" t="s">
        <v>58</v>
      </c>
      <c r="C114" s="33">
        <f t="array" ref="C114">SUM(--(FREQUENCY(IF((Table3[Quarter]=1)*(Table3[Service Received]=B114),MATCH(Table3[Client '#],Table3[Client '#],0)),ROW(Table3[Client '#])-ROW('Service Log'!$A$3)+1)&gt;0))</f>
        <v>0</v>
      </c>
      <c r="D114" s="31">
        <f>SUM(Table3[CountAdvocacyq])</f>
        <v>0</v>
      </c>
    </row>
    <row r="115" spans="2:5" x14ac:dyDescent="0.25">
      <c r="B115" s="15" t="s">
        <v>20</v>
      </c>
      <c r="C115" s="34">
        <f t="array" ref="C115">SUM(--(FREQUENCY(IF((Table3[Quarter]=1)*(Table3[Service Received]=B115),MATCH(Table3[Client '#],Table3[Client '#],0)),ROW(Table3[Client '#])-ROW('Service Log'!$A$3)+1)&gt;0))</f>
        <v>0</v>
      </c>
      <c r="D115" s="32">
        <f>SUM(Table3[CountOtherq])</f>
        <v>0</v>
      </c>
    </row>
    <row r="117" spans="2:5" x14ac:dyDescent="0.25">
      <c r="B117" s="12" t="s">
        <v>437</v>
      </c>
    </row>
    <row r="118" spans="2:5" ht="30" customHeight="1" x14ac:dyDescent="0.25">
      <c r="B118" s="19"/>
      <c r="C118" s="21" t="s">
        <v>97</v>
      </c>
      <c r="D118" s="21" t="s">
        <v>98</v>
      </c>
      <c r="E118" s="23" t="s">
        <v>99</v>
      </c>
    </row>
    <row r="119" spans="2:5" x14ac:dyDescent="0.25">
      <c r="B119" s="14" t="s">
        <v>100</v>
      </c>
      <c r="C119" s="29">
        <f>SUM(Table4[ESCountVictimq])</f>
        <v>0</v>
      </c>
      <c r="D119" s="29">
        <f>SUM(Table4[ESCountFamilyq])</f>
        <v>0</v>
      </c>
      <c r="E119" s="27">
        <f>SUM(Table4[ESTotalNightsq])</f>
        <v>0</v>
      </c>
    </row>
    <row r="120" spans="2:5" x14ac:dyDescent="0.25">
      <c r="B120" s="17" t="s">
        <v>101</v>
      </c>
      <c r="C120" s="30">
        <f>SUM(Table4[THCountVictimsq])</f>
        <v>0</v>
      </c>
      <c r="D120" s="30">
        <f>SUM(Table4[THCountFamilyq])</f>
        <v>0</v>
      </c>
      <c r="E120" s="28">
        <f>SUM(Table4[THTotalNightsq])</f>
        <v>0</v>
      </c>
    </row>
    <row r="122" spans="2:5" x14ac:dyDescent="0.25">
      <c r="B122" s="1" t="s">
        <v>438</v>
      </c>
    </row>
    <row r="123" spans="2:5" x14ac:dyDescent="0.25">
      <c r="B123" s="19"/>
      <c r="C123" s="18" t="s">
        <v>107</v>
      </c>
    </row>
    <row r="124" spans="2:5" ht="30" x14ac:dyDescent="0.25">
      <c r="B124" s="16" t="s">
        <v>102</v>
      </c>
      <c r="C124" s="31">
        <f>SUM(Table5[PrimaryCountq])</f>
        <v>0</v>
      </c>
    </row>
    <row r="125" spans="2:5" x14ac:dyDescent="0.25">
      <c r="B125" s="15" t="s">
        <v>103</v>
      </c>
      <c r="C125" s="28">
        <f>SUM(Table5[AllCountq])</f>
        <v>0</v>
      </c>
    </row>
    <row r="127" spans="2:5" x14ac:dyDescent="0.25">
      <c r="B127" s="1" t="s">
        <v>439</v>
      </c>
    </row>
    <row r="128" spans="2:5" x14ac:dyDescent="0.25">
      <c r="B128" s="19"/>
      <c r="C128" s="18" t="s">
        <v>107</v>
      </c>
    </row>
    <row r="129" spans="2:4" ht="30" x14ac:dyDescent="0.25">
      <c r="B129" s="15" t="s">
        <v>104</v>
      </c>
      <c r="C129" s="32">
        <f>SUM(Table6[CountFlagq])</f>
        <v>0</v>
      </c>
    </row>
    <row r="131" spans="2:4" x14ac:dyDescent="0.25">
      <c r="B131" s="1" t="s">
        <v>440</v>
      </c>
    </row>
    <row r="132" spans="2:4" x14ac:dyDescent="0.25">
      <c r="B132" s="19"/>
      <c r="C132" s="20" t="s">
        <v>105</v>
      </c>
      <c r="D132" s="18" t="s">
        <v>106</v>
      </c>
    </row>
    <row r="133" spans="2:4" x14ac:dyDescent="0.25">
      <c r="B133" s="46" t="s">
        <v>84</v>
      </c>
      <c r="C133" s="34">
        <f>SUM(Table7[TPOGrantq])</f>
        <v>0</v>
      </c>
      <c r="D133" s="32">
        <f>SUM(Table7[FPOGrantq])</f>
        <v>0</v>
      </c>
    </row>
  </sheetData>
  <sheetProtection algorithmName="SHA-512" hashValue="0lDDgZ4jLkVeFgXByxCmTYlHizba7CBEMEb7+IHQ6WKlAqNn4f8nFhAKP+rYdQmMbvTXrsUk8Drr089HBuVcug==" saltValue="GXwf1WmEnVFkAxbB94njuA==" spinCount="100000" sheet="1" objects="1" scenarios="1"/>
  <mergeCells count="2">
    <mergeCell ref="B1:I1"/>
    <mergeCell ref="B4:E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6D0F1-9D76-42E2-BE77-E1F4F986EDC9}">
  <sheetPr>
    <tabColor theme="4"/>
  </sheetPr>
  <dimension ref="B1:J132"/>
  <sheetViews>
    <sheetView showGridLines="0" workbookViewId="0">
      <selection activeCell="C4" sqref="C4"/>
    </sheetView>
  </sheetViews>
  <sheetFormatPr defaultRowHeight="15" x14ac:dyDescent="0.25"/>
  <cols>
    <col min="1" max="1" width="1.25" customWidth="1"/>
    <col min="2" max="2" width="27.875" customWidth="1"/>
    <col min="3" max="3" width="15.75" customWidth="1"/>
    <col min="4" max="4" width="20.875" bestFit="1" customWidth="1"/>
    <col min="5" max="5" width="13" bestFit="1" customWidth="1"/>
    <col min="6" max="6" width="17.875" customWidth="1"/>
  </cols>
  <sheetData>
    <row r="1" spans="2:10" ht="21" x14ac:dyDescent="0.35">
      <c r="B1" s="57" t="s">
        <v>448</v>
      </c>
      <c r="C1" s="57"/>
      <c r="D1" s="57"/>
      <c r="E1" s="57"/>
      <c r="F1" s="57"/>
      <c r="G1" s="57"/>
      <c r="H1" s="57"/>
      <c r="I1" s="57"/>
      <c r="J1" s="49"/>
    </row>
    <row r="3" spans="2:10" ht="21" x14ac:dyDescent="0.35">
      <c r="B3" s="25" t="s">
        <v>324</v>
      </c>
      <c r="C3" s="50">
        <v>2024</v>
      </c>
      <c r="D3" s="55" t="s">
        <v>326</v>
      </c>
      <c r="E3" s="70"/>
      <c r="F3" s="70"/>
      <c r="G3" s="70"/>
    </row>
    <row r="4" spans="2:10" x14ac:dyDescent="0.25">
      <c r="B4" s="54"/>
      <c r="C4" s="54"/>
      <c r="D4" s="54"/>
      <c r="E4" s="54"/>
    </row>
    <row r="5" spans="2:10" x14ac:dyDescent="0.25">
      <c r="B5" s="1" t="s">
        <v>343</v>
      </c>
    </row>
    <row r="6" spans="2:10" ht="30" customHeight="1" x14ac:dyDescent="0.25">
      <c r="B6" s="19"/>
      <c r="C6" s="20" t="s">
        <v>82</v>
      </c>
      <c r="D6" s="21" t="s">
        <v>70</v>
      </c>
      <c r="E6" s="20" t="s">
        <v>4</v>
      </c>
      <c r="F6" s="21" t="s">
        <v>335</v>
      </c>
      <c r="G6" s="20" t="s">
        <v>84</v>
      </c>
    </row>
    <row r="7" spans="2:10" x14ac:dyDescent="0.25">
      <c r="B7" s="14" t="s">
        <v>78</v>
      </c>
      <c r="C7" s="33">
        <f>SUM(Table1[ServedSA])</f>
        <v>0</v>
      </c>
      <c r="D7" s="33">
        <f>SUM(Table1[ServedDV])</f>
        <v>0</v>
      </c>
      <c r="E7" s="33">
        <f>SUM(Table1[ServedST])</f>
        <v>0</v>
      </c>
      <c r="F7" s="33">
        <f>SUM(Table1[ServedFGM])</f>
        <v>0</v>
      </c>
      <c r="G7" s="44">
        <f>SUM(C7:F7)</f>
        <v>0</v>
      </c>
    </row>
    <row r="8" spans="2:10" x14ac:dyDescent="0.25">
      <c r="B8" s="14" t="s">
        <v>79</v>
      </c>
      <c r="C8" s="33">
        <f>SUM(Table1[PartialSA])</f>
        <v>0</v>
      </c>
      <c r="D8" s="33">
        <f>SUM(Table1[PartialDV])</f>
        <v>0</v>
      </c>
      <c r="E8" s="33">
        <f>SUM(Table1[PartialST])</f>
        <v>0</v>
      </c>
      <c r="F8" s="33">
        <f>SUM(Table1[PartialFGM])</f>
        <v>0</v>
      </c>
      <c r="G8" s="44">
        <f>SUM(C8:F8)</f>
        <v>0</v>
      </c>
    </row>
    <row r="9" spans="2:10" ht="30" x14ac:dyDescent="0.25">
      <c r="B9" s="42" t="s">
        <v>80</v>
      </c>
      <c r="C9" s="43">
        <f>SUM(C7:C8)</f>
        <v>0</v>
      </c>
      <c r="D9" s="43">
        <f>SUM(D7:D8)</f>
        <v>0</v>
      </c>
      <c r="E9" s="43">
        <f>SUM(E7:E8)</f>
        <v>0</v>
      </c>
      <c r="F9" s="43">
        <f>SUM(F7:F8)</f>
        <v>0</v>
      </c>
      <c r="G9" s="44">
        <f>SUM(C9:F9)</f>
        <v>0</v>
      </c>
    </row>
    <row r="10" spans="2:10" ht="30" customHeight="1" x14ac:dyDescent="0.25">
      <c r="B10" s="15" t="s">
        <v>81</v>
      </c>
      <c r="C10" s="34">
        <f>SUM(Table8[CountSA])</f>
        <v>0</v>
      </c>
      <c r="D10" s="34">
        <f>SUM(Table8[CountDV])</f>
        <v>0</v>
      </c>
      <c r="E10" s="34">
        <f>SUM(Table8[CountST])</f>
        <v>0</v>
      </c>
      <c r="F10" s="34">
        <f>SUM(Table8[CountFGM])</f>
        <v>0</v>
      </c>
      <c r="G10" s="45">
        <f>SUM(C10:F10)</f>
        <v>0</v>
      </c>
    </row>
    <row r="12" spans="2:10" x14ac:dyDescent="0.25">
      <c r="B12" s="1" t="s">
        <v>344</v>
      </c>
    </row>
    <row r="13" spans="2:10" x14ac:dyDescent="0.25">
      <c r="B13" s="19"/>
      <c r="C13" s="18" t="s">
        <v>107</v>
      </c>
    </row>
    <row r="14" spans="2:10" x14ac:dyDescent="0.25">
      <c r="B14" s="46" t="s">
        <v>84</v>
      </c>
      <c r="C14" s="32">
        <f>SUM(Table1[CountSecondary])</f>
        <v>0</v>
      </c>
    </row>
    <row r="16" spans="2:10" x14ac:dyDescent="0.25">
      <c r="B16" s="13" t="s">
        <v>351</v>
      </c>
    </row>
    <row r="17" spans="2:3" ht="30" x14ac:dyDescent="0.25">
      <c r="B17" s="19"/>
      <c r="C17" s="21" t="s">
        <v>375</v>
      </c>
    </row>
    <row r="18" spans="2:3" ht="15" customHeight="1" x14ac:dyDescent="0.25">
      <c r="B18" s="16" t="s">
        <v>2</v>
      </c>
      <c r="C18" s="35" t="str">
        <f>IF(SUM(Table1[AddSA])&gt;0,"a","")</f>
        <v/>
      </c>
    </row>
    <row r="19" spans="2:3" ht="15" customHeight="1" x14ac:dyDescent="0.25">
      <c r="B19" s="14" t="s">
        <v>83</v>
      </c>
      <c r="C19" s="35" t="str">
        <f>IF(SUM(Table1[AddDV])&gt;0,"a","")</f>
        <v/>
      </c>
    </row>
    <row r="20" spans="2:3" ht="15" customHeight="1" x14ac:dyDescent="0.25">
      <c r="B20" s="14" t="s">
        <v>4</v>
      </c>
      <c r="C20" s="35" t="str">
        <f>IF(SUM(Table1[AddStalk])&gt;0,"a","")</f>
        <v/>
      </c>
    </row>
    <row r="21" spans="2:3" ht="15" customHeight="1" x14ac:dyDescent="0.25">
      <c r="B21" s="16" t="s">
        <v>352</v>
      </c>
      <c r="C21" s="35" t="str">
        <f>IF(SUM(Table1[AddFGM])&gt;0,"a","")</f>
        <v/>
      </c>
    </row>
    <row r="22" spans="2:3" ht="15" customHeight="1" x14ac:dyDescent="0.25">
      <c r="B22" s="16" t="s">
        <v>353</v>
      </c>
      <c r="C22" s="35" t="str">
        <f>IF(SUM(Table1[AddCSA])&gt;0,"a","")</f>
        <v/>
      </c>
    </row>
    <row r="23" spans="2:3" ht="15" customHeight="1" x14ac:dyDescent="0.25">
      <c r="B23" s="16" t="s">
        <v>354</v>
      </c>
      <c r="C23" s="35" t="str">
        <f>IF(SUM(Table1[AddSexT])&gt;0,"a","")</f>
        <v/>
      </c>
    </row>
    <row r="24" spans="2:3" ht="15" customHeight="1" x14ac:dyDescent="0.25">
      <c r="B24" s="16" t="s">
        <v>355</v>
      </c>
      <c r="C24" s="35" t="str">
        <f>IF(SUM(Table1[AddLaborT])&gt;0,"a","")</f>
        <v/>
      </c>
    </row>
    <row r="25" spans="2:3" ht="15" customHeight="1" x14ac:dyDescent="0.25">
      <c r="B25" s="16" t="s">
        <v>348</v>
      </c>
      <c r="C25" s="35" t="str">
        <f>IF(SUM(Table1[AddEcon])&gt;0,"a","")</f>
        <v/>
      </c>
    </row>
    <row r="26" spans="2:3" ht="15" customHeight="1" x14ac:dyDescent="0.25">
      <c r="B26" s="16" t="s">
        <v>349</v>
      </c>
      <c r="C26" s="35" t="str">
        <f>IF(SUM(Table1[AddTech])&gt;0,"a","")</f>
        <v/>
      </c>
    </row>
    <row r="27" spans="2:3" ht="15" customHeight="1" x14ac:dyDescent="0.25">
      <c r="B27" s="15" t="s">
        <v>350</v>
      </c>
      <c r="C27" s="36" t="str">
        <f>IF(SUM(Table1[AddFM])&gt;0,"a","")</f>
        <v/>
      </c>
    </row>
    <row r="28" spans="2:3" x14ac:dyDescent="0.25">
      <c r="B28" s="13"/>
    </row>
    <row r="29" spans="2:3" x14ac:dyDescent="0.25">
      <c r="B29" s="13" t="s">
        <v>376</v>
      </c>
    </row>
    <row r="30" spans="2:3" x14ac:dyDescent="0.25">
      <c r="B30" s="19"/>
      <c r="C30" s="18" t="s">
        <v>107</v>
      </c>
    </row>
    <row r="31" spans="2:3" x14ac:dyDescent="0.25">
      <c r="B31" s="14" t="s">
        <v>82</v>
      </c>
      <c r="C31" s="27">
        <f>SUM(Table9[SAFlag])</f>
        <v>0</v>
      </c>
    </row>
    <row r="32" spans="2:3" x14ac:dyDescent="0.25">
      <c r="B32" s="14" t="s">
        <v>83</v>
      </c>
      <c r="C32" s="27">
        <f>SUM(Table9[DVFlag])</f>
        <v>0</v>
      </c>
    </row>
    <row r="33" spans="2:4" x14ac:dyDescent="0.25">
      <c r="B33" s="14" t="s">
        <v>4</v>
      </c>
      <c r="C33" s="27">
        <f>SUM(Table9[STFlag])</f>
        <v>0</v>
      </c>
    </row>
    <row r="34" spans="2:4" x14ac:dyDescent="0.25">
      <c r="B34" s="14" t="s">
        <v>335</v>
      </c>
      <c r="C34" s="27">
        <f>SUM(Table9[FGMFlag])</f>
        <v>0</v>
      </c>
    </row>
    <row r="35" spans="2:4" x14ac:dyDescent="0.25">
      <c r="B35" s="46" t="s">
        <v>84</v>
      </c>
      <c r="C35" s="47">
        <f>SUM(C31:C34)</f>
        <v>0</v>
      </c>
    </row>
    <row r="37" spans="2:4" x14ac:dyDescent="0.25">
      <c r="B37" s="1" t="s">
        <v>379</v>
      </c>
    </row>
    <row r="38" spans="2:4" x14ac:dyDescent="0.25">
      <c r="B38" s="19"/>
      <c r="C38" s="20" t="s">
        <v>85</v>
      </c>
      <c r="D38" s="18" t="s">
        <v>86</v>
      </c>
    </row>
    <row r="39" spans="2:4" ht="20.25" x14ac:dyDescent="0.25">
      <c r="B39" s="16" t="s">
        <v>6</v>
      </c>
      <c r="C39" s="35" t="str">
        <f>IF(SUM(Table1[ConflictCount])&gt;0,"a","")</f>
        <v/>
      </c>
      <c r="D39" s="35" t="str">
        <f>IF(SUM(Table8[ConflictCount])&gt;0,"a","")</f>
        <v/>
      </c>
    </row>
    <row r="40" spans="2:4" ht="30" x14ac:dyDescent="0.25">
      <c r="B40" s="16" t="s">
        <v>5</v>
      </c>
      <c r="C40" s="35" t="str">
        <f>IF(SUM(Table1[StatuteCount])&gt;0,"a","")</f>
        <v/>
      </c>
      <c r="D40" s="35" t="str">
        <f>IF(SUM(Table8[StatuteCount])&gt;0,"a","")</f>
        <v/>
      </c>
    </row>
    <row r="41" spans="2:4" ht="20.25" x14ac:dyDescent="0.25">
      <c r="B41" s="16" t="s">
        <v>7</v>
      </c>
      <c r="C41" s="35" t="str">
        <f>IF(SUM(Table1[HoursCount])&gt;0,"a","")</f>
        <v/>
      </c>
      <c r="D41" s="35" t="str">
        <f>IF(SUM(Table8[HoursCount])&gt;0,"a","")</f>
        <v/>
      </c>
    </row>
    <row r="42" spans="2:4" ht="30" x14ac:dyDescent="0.25">
      <c r="B42" s="16" t="s">
        <v>8</v>
      </c>
      <c r="C42" s="35" t="str">
        <f>IF(SUM(Table1[CulturalCount])&gt;0,"a","")</f>
        <v/>
      </c>
      <c r="D42" s="35" t="str">
        <f>IF(SUM(Table8[CulturalCount])&gt;0,"a","")</f>
        <v/>
      </c>
    </row>
    <row r="43" spans="2:4" ht="30" x14ac:dyDescent="0.25">
      <c r="B43" s="16" t="s">
        <v>9</v>
      </c>
      <c r="C43" s="35" t="str">
        <f>IF(SUM(Table1[LanguageCount])&gt;0,"a","")</f>
        <v/>
      </c>
      <c r="D43" s="35" t="str">
        <f>IF(SUM(Table8[LanguageCount])&gt;0,"a","")</f>
        <v/>
      </c>
    </row>
    <row r="44" spans="2:4" ht="30" x14ac:dyDescent="0.25">
      <c r="B44" s="16" t="s">
        <v>10</v>
      </c>
      <c r="C44" s="35" t="str">
        <f>IF(SUM(Table1[DisabilitiesCount])&gt;0,"a","")</f>
        <v/>
      </c>
      <c r="D44" s="35" t="str">
        <f>IF(SUM(Table8[DisabilitiesCount])&gt;0,"a","")</f>
        <v/>
      </c>
    </row>
    <row r="45" spans="2:4" ht="45" x14ac:dyDescent="0.25">
      <c r="B45" s="16" t="s">
        <v>384</v>
      </c>
      <c r="C45" s="35" t="str">
        <f>IF(SUM(Table1[DeafCount])&gt;0,"a","")</f>
        <v/>
      </c>
      <c r="D45" s="35" t="str">
        <f>IF(SUM(Table8[DeafCount])&gt;0,"a","")</f>
        <v/>
      </c>
    </row>
    <row r="46" spans="2:4" ht="20.25" x14ac:dyDescent="0.25">
      <c r="B46" s="16" t="s">
        <v>11</v>
      </c>
      <c r="C46" s="35" t="str">
        <f>IF(SUM(Table1[ChildcareCount])&gt;0,"a","")</f>
        <v/>
      </c>
      <c r="D46" s="35" t="str">
        <f>IF(SUM(Table8[ChildcareCount])&gt;0,"a","")</f>
        <v/>
      </c>
    </row>
    <row r="47" spans="2:4" ht="20.25" x14ac:dyDescent="0.25">
      <c r="B47" s="16" t="s">
        <v>12</v>
      </c>
      <c r="C47" s="35" t="str">
        <f>IF(SUM(Table1[CapacityCount])&gt;0,"a","")</f>
        <v/>
      </c>
      <c r="D47" s="35" t="str">
        <f>IF(SUM(Table8[CapacityCount])&gt;0,"a","")</f>
        <v/>
      </c>
    </row>
    <row r="48" spans="2:4" ht="30" x14ac:dyDescent="0.25">
      <c r="B48" s="16" t="s">
        <v>13</v>
      </c>
      <c r="C48" s="35" t="str">
        <f>IF(SUM(Table1[RulesCount])&gt;0,"a","")</f>
        <v/>
      </c>
      <c r="D48" s="35" t="str">
        <f>IF(SUM(Table8[RulesCount])&gt;0,"a","")</f>
        <v/>
      </c>
    </row>
    <row r="49" spans="2:4" ht="45" x14ac:dyDescent="0.25">
      <c r="B49" s="16" t="s">
        <v>14</v>
      </c>
      <c r="C49" s="35" t="str">
        <f>IF(SUM(Table1[ResourcesCount])&gt;0,"a","")</f>
        <v/>
      </c>
      <c r="D49" s="35" t="str">
        <f>IF(SUM(Table8[ResourcesCount])&gt;0,"a","")</f>
        <v/>
      </c>
    </row>
    <row r="50" spans="2:4" ht="45" x14ac:dyDescent="0.25">
      <c r="B50" s="16" t="s">
        <v>15</v>
      </c>
      <c r="C50" s="35" t="str">
        <f>IF(SUM(Table1[MHCount])&gt;0,"a","")</f>
        <v/>
      </c>
      <c r="D50" s="35" t="str">
        <f>IF(SUM(Table8[MHCount])&gt;0,"a","")</f>
        <v/>
      </c>
    </row>
    <row r="51" spans="2:4" ht="45" x14ac:dyDescent="0.25">
      <c r="B51" s="16" t="s">
        <v>16</v>
      </c>
      <c r="C51" s="35" t="str">
        <f>IF(SUM(Table1[SACount])&gt;0,"a","")</f>
        <v/>
      </c>
      <c r="D51" s="35" t="str">
        <f>IF(SUM(Table8[SACount])&gt;0,"a","")</f>
        <v/>
      </c>
    </row>
    <row r="52" spans="2:4" ht="30" x14ac:dyDescent="0.25">
      <c r="B52" s="16" t="s">
        <v>17</v>
      </c>
      <c r="C52" s="35" t="str">
        <f>IF(SUM(Table1[NACount])&gt;0,"a","")</f>
        <v/>
      </c>
      <c r="D52" s="35" t="str">
        <f>IF(SUM(Table8[NACount])&gt;0,"a","")</f>
        <v/>
      </c>
    </row>
    <row r="53" spans="2:4" ht="45" x14ac:dyDescent="0.25">
      <c r="B53" s="16" t="s">
        <v>18</v>
      </c>
      <c r="C53" s="35" t="str">
        <f>IF(SUM(Table1[MaleCount])&gt;0,"a","")</f>
        <v/>
      </c>
      <c r="D53" s="35" t="str">
        <f>IF(SUM(Table8[MaleCount])&gt;0,"a","")</f>
        <v/>
      </c>
    </row>
    <row r="54" spans="2:4" ht="20.25" x14ac:dyDescent="0.25">
      <c r="B54" s="16" t="s">
        <v>19</v>
      </c>
      <c r="C54" s="35" t="str">
        <f>IF(SUM(Table1[TransportationCount])&gt;0,"a","")</f>
        <v/>
      </c>
      <c r="D54" s="35" t="str">
        <f>IF(SUM(Table8[TransportationCount])&gt;0,"a","")</f>
        <v/>
      </c>
    </row>
    <row r="55" spans="2:4" ht="20.25" x14ac:dyDescent="0.25">
      <c r="B55" s="15" t="s">
        <v>20</v>
      </c>
      <c r="C55" s="36" t="str">
        <f>IF(SUM(Table1[OtherCount])&gt;0,"a","")</f>
        <v/>
      </c>
      <c r="D55" s="36" t="str">
        <f>IF(SUM(Table8[OtherCount])&gt;0,"a","")</f>
        <v/>
      </c>
    </row>
    <row r="57" spans="2:4" x14ac:dyDescent="0.25">
      <c r="B57" s="13" t="s">
        <v>388</v>
      </c>
    </row>
    <row r="58" spans="2:4" x14ac:dyDescent="0.25">
      <c r="B58" s="19"/>
      <c r="C58" s="18" t="s">
        <v>107</v>
      </c>
    </row>
    <row r="59" spans="2:4" x14ac:dyDescent="0.25">
      <c r="B59" s="24" t="s">
        <v>389</v>
      </c>
      <c r="C59" s="22"/>
    </row>
    <row r="60" spans="2:4" x14ac:dyDescent="0.25">
      <c r="B60" s="16" t="s">
        <v>87</v>
      </c>
      <c r="C60" s="31">
        <f>SUM(Table1[AIAN])</f>
        <v>0</v>
      </c>
    </row>
    <row r="61" spans="2:4" x14ac:dyDescent="0.25">
      <c r="B61" s="16" t="s">
        <v>35</v>
      </c>
      <c r="C61" s="31">
        <f>SUM(Table1[Asian2])</f>
        <v>0</v>
      </c>
    </row>
    <row r="62" spans="2:4" x14ac:dyDescent="0.25">
      <c r="B62" s="16" t="s">
        <v>36</v>
      </c>
      <c r="C62" s="31">
        <f>SUM(Table1[Black])</f>
        <v>0</v>
      </c>
    </row>
    <row r="63" spans="2:4" x14ac:dyDescent="0.25">
      <c r="B63" s="16" t="s">
        <v>88</v>
      </c>
      <c r="C63" s="31">
        <f>SUM(Table1[Hispanic])</f>
        <v>0</v>
      </c>
    </row>
    <row r="64" spans="2:4" x14ac:dyDescent="0.25">
      <c r="B64" s="16" t="s">
        <v>380</v>
      </c>
      <c r="C64" s="31">
        <f>SUM(Table1[MENA])</f>
        <v>0</v>
      </c>
    </row>
    <row r="65" spans="2:3" ht="30" x14ac:dyDescent="0.25">
      <c r="B65" s="16" t="s">
        <v>89</v>
      </c>
      <c r="C65" s="31">
        <f>SUM(Table1[PI])</f>
        <v>0</v>
      </c>
    </row>
    <row r="66" spans="2:3" x14ac:dyDescent="0.25">
      <c r="B66" s="16" t="s">
        <v>37</v>
      </c>
      <c r="C66" s="31">
        <f>SUM(Table1[White2])</f>
        <v>0</v>
      </c>
    </row>
    <row r="67" spans="2:3" x14ac:dyDescent="0.25">
      <c r="B67" s="16" t="s">
        <v>90</v>
      </c>
      <c r="C67" s="31">
        <f>SUM(Table1[OtherRace])</f>
        <v>0</v>
      </c>
    </row>
    <row r="68" spans="2:3" x14ac:dyDescent="0.25">
      <c r="B68" s="16" t="s">
        <v>25</v>
      </c>
      <c r="C68" s="31">
        <f>SUM(Table1[UnknownRace])</f>
        <v>0</v>
      </c>
    </row>
    <row r="69" spans="2:3" x14ac:dyDescent="0.25">
      <c r="B69" s="24" t="s">
        <v>390</v>
      </c>
      <c r="C69" s="22"/>
    </row>
    <row r="70" spans="2:3" x14ac:dyDescent="0.25">
      <c r="B70" s="16" t="s">
        <v>22</v>
      </c>
      <c r="C70" s="31">
        <f>SUM(Table1[Female])</f>
        <v>0</v>
      </c>
    </row>
    <row r="71" spans="2:3" x14ac:dyDescent="0.25">
      <c r="B71" s="16" t="s">
        <v>23</v>
      </c>
      <c r="C71" s="31">
        <f>SUM(Table1[Male])</f>
        <v>0</v>
      </c>
    </row>
    <row r="72" spans="2:3" ht="30" x14ac:dyDescent="0.25">
      <c r="B72" s="16" t="s">
        <v>24</v>
      </c>
      <c r="C72" s="31">
        <f>SUM(Table1[Transgender])</f>
        <v>0</v>
      </c>
    </row>
    <row r="73" spans="2:3" x14ac:dyDescent="0.25">
      <c r="B73" s="16" t="s">
        <v>387</v>
      </c>
      <c r="C73" s="31">
        <f>SUM(Table1[TwoSpirit])</f>
        <v>0</v>
      </c>
    </row>
    <row r="74" spans="2:3" x14ac:dyDescent="0.25">
      <c r="B74" s="16" t="s">
        <v>20</v>
      </c>
      <c r="C74" s="31">
        <f>SUM(Table1[OtherGender])</f>
        <v>0</v>
      </c>
    </row>
    <row r="75" spans="2:3" x14ac:dyDescent="0.25">
      <c r="B75" s="16" t="s">
        <v>25</v>
      </c>
      <c r="C75" s="31">
        <f>SUM(Table1[UnknownGender])</f>
        <v>0</v>
      </c>
    </row>
    <row r="76" spans="2:3" x14ac:dyDescent="0.25">
      <c r="B76" s="24" t="s">
        <v>391</v>
      </c>
      <c r="C76" s="22"/>
    </row>
    <row r="77" spans="2:3" x14ac:dyDescent="0.25">
      <c r="B77" s="16" t="s">
        <v>27</v>
      </c>
      <c r="C77" s="27">
        <f>SUM(Table1[Age1])</f>
        <v>0</v>
      </c>
    </row>
    <row r="78" spans="2:3" x14ac:dyDescent="0.25">
      <c r="B78" s="16" t="s">
        <v>28</v>
      </c>
      <c r="C78" s="27">
        <f>SUM(Table1[Age2])</f>
        <v>0</v>
      </c>
    </row>
    <row r="79" spans="2:3" x14ac:dyDescent="0.25">
      <c r="B79" s="16" t="s">
        <v>29</v>
      </c>
      <c r="C79" s="27">
        <f>SUM(Table1[Age3])</f>
        <v>0</v>
      </c>
    </row>
    <row r="80" spans="2:3" x14ac:dyDescent="0.25">
      <c r="B80" s="16" t="s">
        <v>30</v>
      </c>
      <c r="C80" s="27">
        <f>SUM(Table1[Age4])</f>
        <v>0</v>
      </c>
    </row>
    <row r="81" spans="2:6" x14ac:dyDescent="0.25">
      <c r="B81" s="16" t="s">
        <v>25</v>
      </c>
      <c r="C81" s="27">
        <f>SUM(Table1[UnknownAge])</f>
        <v>0</v>
      </c>
    </row>
    <row r="82" spans="2:6" x14ac:dyDescent="0.25">
      <c r="B82" s="24" t="s">
        <v>392</v>
      </c>
      <c r="C82" s="22"/>
    </row>
    <row r="83" spans="2:6" x14ac:dyDescent="0.25">
      <c r="B83" s="16" t="s">
        <v>91</v>
      </c>
      <c r="C83" s="31">
        <f>SUM(Table1[LGBTQ2])</f>
        <v>0</v>
      </c>
    </row>
    <row r="84" spans="2:6" x14ac:dyDescent="0.25">
      <c r="B84" s="16" t="s">
        <v>92</v>
      </c>
      <c r="C84" s="31">
        <f>SUM(Table1[Disabled])</f>
        <v>0</v>
      </c>
    </row>
    <row r="85" spans="2:6" ht="30" x14ac:dyDescent="0.25">
      <c r="B85" s="16" t="s">
        <v>393</v>
      </c>
      <c r="C85" s="31">
        <f>SUM(Table1[LEP])</f>
        <v>0</v>
      </c>
    </row>
    <row r="86" spans="2:6" x14ac:dyDescent="0.25">
      <c r="B86" s="16" t="s">
        <v>394</v>
      </c>
      <c r="C86" s="31">
        <f>SUM(Table1[Deaf])</f>
        <v>0</v>
      </c>
    </row>
    <row r="87" spans="2:6" ht="30" x14ac:dyDescent="0.25">
      <c r="B87" s="16" t="s">
        <v>93</v>
      </c>
      <c r="C87" s="31">
        <f>SUM(Table1[Immigrant])</f>
        <v>0</v>
      </c>
    </row>
    <row r="88" spans="2:6" ht="30" x14ac:dyDescent="0.25">
      <c r="B88" s="16" t="s">
        <v>395</v>
      </c>
      <c r="C88" s="31">
        <f>SUM(Table1[Correction])</f>
        <v>0</v>
      </c>
    </row>
    <row r="89" spans="2:6" x14ac:dyDescent="0.25">
      <c r="B89" s="15" t="s">
        <v>94</v>
      </c>
      <c r="C89" s="32">
        <f>SUM(Table1[Rural])</f>
        <v>0</v>
      </c>
    </row>
    <row r="91" spans="2:6" x14ac:dyDescent="0.25">
      <c r="B91" s="1" t="s">
        <v>432</v>
      </c>
    </row>
    <row r="92" spans="2:6" ht="30" customHeight="1" x14ac:dyDescent="0.25">
      <c r="B92" s="19"/>
      <c r="C92" s="20" t="s">
        <v>82</v>
      </c>
      <c r="D92" s="21" t="s">
        <v>70</v>
      </c>
      <c r="E92" s="21" t="s">
        <v>4</v>
      </c>
      <c r="F92" s="23" t="s">
        <v>352</v>
      </c>
    </row>
    <row r="93" spans="2:6" ht="30" x14ac:dyDescent="0.25">
      <c r="B93" s="16" t="s">
        <v>41</v>
      </c>
      <c r="C93" s="33">
        <f>SUM(Table2[CountSASpouse])</f>
        <v>0</v>
      </c>
      <c r="D93" s="33">
        <f>SUM(Table2[CountDVSpouse])</f>
        <v>0</v>
      </c>
      <c r="E93" s="33">
        <f>SUM(Table2[CountSTSpouse])</f>
        <v>0</v>
      </c>
      <c r="F93" s="31">
        <f>SUM(Table2[CountFGMSpouse])</f>
        <v>0</v>
      </c>
    </row>
    <row r="94" spans="2:6" x14ac:dyDescent="0.25">
      <c r="B94" s="14" t="s">
        <v>42</v>
      </c>
      <c r="C94" s="33">
        <f>SUM(Table2[CountSAFamily])</f>
        <v>0</v>
      </c>
      <c r="D94" s="33">
        <f>SUM(Table2[CountDVFamily])</f>
        <v>0</v>
      </c>
      <c r="E94" s="33">
        <f>SUM(Table2[CountSTFamily])</f>
        <v>0</v>
      </c>
      <c r="F94" s="31">
        <f>SUM(Table2[CountFGMFamily])</f>
        <v>0</v>
      </c>
    </row>
    <row r="95" spans="2:6" x14ac:dyDescent="0.25">
      <c r="B95" s="14" t="s">
        <v>43</v>
      </c>
      <c r="C95" s="33">
        <f>SUM(Table2[CountSADating])</f>
        <v>0</v>
      </c>
      <c r="D95" s="33">
        <f>SUM(Table2[CountDVDating])</f>
        <v>0</v>
      </c>
      <c r="E95" s="33">
        <f>SUM(Table2[CountSTDating])</f>
        <v>0</v>
      </c>
      <c r="F95" s="31">
        <f>SUM(Table2[CountFGMDating])</f>
        <v>0</v>
      </c>
    </row>
    <row r="96" spans="2:6" x14ac:dyDescent="0.25">
      <c r="B96" s="14" t="s">
        <v>45</v>
      </c>
      <c r="C96" s="33">
        <f>SUM(Table2[CountSAAcquaintance])</f>
        <v>0</v>
      </c>
      <c r="D96" s="33">
        <f>SUM(Table2[CountDVAcquaintance])</f>
        <v>0</v>
      </c>
      <c r="E96" s="33">
        <f>SUM(Table2[CountSTAcquaintance])</f>
        <v>0</v>
      </c>
      <c r="F96" s="31">
        <f>SUM(Table2[CountFGMAcquaintance])</f>
        <v>0</v>
      </c>
    </row>
    <row r="97" spans="2:6" x14ac:dyDescent="0.25">
      <c r="B97" s="14" t="s">
        <v>46</v>
      </c>
      <c r="C97" s="33">
        <f>SUM(Table2[CountSAStranger])</f>
        <v>0</v>
      </c>
      <c r="D97" s="33">
        <f>SUM(Table2[CountDVStranger])</f>
        <v>0</v>
      </c>
      <c r="E97" s="33">
        <f>SUM(Table2[CountSTStranger])</f>
        <v>0</v>
      </c>
      <c r="F97" s="31">
        <f>SUM(Table2[CountFGMStranger])</f>
        <v>0</v>
      </c>
    </row>
    <row r="98" spans="2:6" x14ac:dyDescent="0.25">
      <c r="B98" s="14" t="s">
        <v>20</v>
      </c>
      <c r="C98" s="33">
        <f>SUM(Table2[CountSAOther])</f>
        <v>0</v>
      </c>
      <c r="D98" s="33">
        <f>SUM(Table2[CountDVOther])</f>
        <v>0</v>
      </c>
      <c r="E98" s="33">
        <f>SUM(Table2[CountSTOther])</f>
        <v>0</v>
      </c>
      <c r="F98" s="31">
        <f>SUM(Table2[CountFGMOther])</f>
        <v>0</v>
      </c>
    </row>
    <row r="99" spans="2:6" x14ac:dyDescent="0.25">
      <c r="B99" s="14" t="s">
        <v>25</v>
      </c>
      <c r="C99" s="33">
        <f>SUM(Table2[CountSAUnknown])</f>
        <v>0</v>
      </c>
      <c r="D99" s="33">
        <f>SUM(Table2[CountDVUnknown])</f>
        <v>0</v>
      </c>
      <c r="E99" s="33">
        <f>SUM(Table2[CountSTUnknown])</f>
        <v>0</v>
      </c>
      <c r="F99" s="31">
        <f>SUM(Table2[CountFGMUnknown])</f>
        <v>0</v>
      </c>
    </row>
    <row r="100" spans="2:6" x14ac:dyDescent="0.25">
      <c r="B100" s="46" t="s">
        <v>84</v>
      </c>
      <c r="C100" s="48">
        <f>SUM(C93:C99)</f>
        <v>0</v>
      </c>
      <c r="D100" s="48">
        <f>SUM(D93:D99)</f>
        <v>0</v>
      </c>
      <c r="E100" s="48">
        <f>SUM(E93:E99)</f>
        <v>0</v>
      </c>
      <c r="F100" s="45">
        <f>SUM(F93:F99)</f>
        <v>0</v>
      </c>
    </row>
    <row r="102" spans="2:6" x14ac:dyDescent="0.25">
      <c r="B102" s="1" t="s">
        <v>436</v>
      </c>
    </row>
    <row r="103" spans="2:6" ht="45" x14ac:dyDescent="0.25">
      <c r="B103" s="19"/>
      <c r="C103" s="21" t="s">
        <v>95</v>
      </c>
      <c r="D103" s="23" t="s">
        <v>96</v>
      </c>
    </row>
    <row r="104" spans="2:6" ht="30" x14ac:dyDescent="0.25">
      <c r="B104" s="16" t="s">
        <v>51</v>
      </c>
      <c r="C104" s="33" cm="1">
        <f t="array" ref="C104">SUM(--(FREQUENCY(IF((Table3[Year]=1)*(Table3[Service Received]=B104),MATCH(Table3[Client '#],Table3[Client '#],0)),ROW(Table3[Client '#])-ROW('Service Log'!$A$3)+1)&gt;0))</f>
        <v>0</v>
      </c>
      <c r="D104" s="31">
        <f>SUM(Table3[CountCivil])</f>
        <v>0</v>
      </c>
    </row>
    <row r="105" spans="2:6" x14ac:dyDescent="0.25">
      <c r="B105" s="16" t="s">
        <v>52</v>
      </c>
      <c r="C105" s="33" cm="1">
        <f t="array" ref="C105">SUM(--(FREQUENCY(IF((Table3[Year]=1)*(Table3[Service Received]=B105),MATCH(Table3[Client '#],Table3[Client '#],0)),ROW(Table3[Client '#])-ROW('Service Log'!$A$3)+1)&gt;0))</f>
        <v>0</v>
      </c>
      <c r="D105" s="31">
        <f>SUM(Table3[CountCounseling])</f>
        <v>0</v>
      </c>
    </row>
    <row r="106" spans="2:6" ht="30" x14ac:dyDescent="0.25">
      <c r="B106" s="16" t="s">
        <v>53</v>
      </c>
      <c r="C106" s="33" cm="1">
        <f t="array" ref="C106">SUM(--(FREQUENCY(IF((Table3[Year]=1)*(Table3[Service Received]=B106),MATCH(Table3[Client '#],Table3[Client '#],0)),ROW(Table3[Client '#])-ROW('Service Log'!$A$3)+1)&gt;0))</f>
        <v>0</v>
      </c>
      <c r="D106" s="31">
        <f>SUM(Table3[CountCriminal])</f>
        <v>0</v>
      </c>
    </row>
    <row r="107" spans="2:6" x14ac:dyDescent="0.25">
      <c r="B107" s="16" t="s">
        <v>54</v>
      </c>
      <c r="C107" s="33" cm="1">
        <f t="array" ref="C107">SUM(--(FREQUENCY(IF((Table3[Year]=1)*(Table3[Service Received]=B107),MATCH(Table3[Client '#],Table3[Client '#],0)),ROW(Table3[Client '#])-ROW('Service Log'!$A$3)+1)&gt;0))</f>
        <v>0</v>
      </c>
      <c r="D107" s="31">
        <f>SUM(Table3[CountCrisis])</f>
        <v>0</v>
      </c>
    </row>
    <row r="108" spans="2:6" x14ac:dyDescent="0.25">
      <c r="B108" s="16" t="s">
        <v>433</v>
      </c>
      <c r="C108" s="33" cm="1">
        <f t="array" ref="C108">SUM(--(FREQUENCY(IF((Table3[Year]=1)*(Table3[Service Received]=B108),MATCH(Table3[Client '#],Table3[Client '#],0)),ROW(Table3[Client '#])-ROW('Service Log'!$A$3)+1)&gt;0))</f>
        <v>0</v>
      </c>
      <c r="D108" s="31">
        <f>SUM(Table3[CountCultural])</f>
        <v>0</v>
      </c>
    </row>
    <row r="109" spans="2:6" x14ac:dyDescent="0.25">
      <c r="B109" s="16" t="s">
        <v>55</v>
      </c>
      <c r="C109" s="33" cm="1">
        <f t="array" ref="C109">SUM(--(FREQUENCY(IF((Table3[Year]=1)*(Table3[Service Received]=B109),MATCH(Table3[Client '#],Table3[Client '#],0)),ROW(Table3[Client '#])-ROW('Service Log'!$A$3)+1)&gt;0))</f>
        <v>0</v>
      </c>
      <c r="D109" s="31">
        <f>SUM(Table3[CountForensic])</f>
        <v>0</v>
      </c>
    </row>
    <row r="110" spans="2:6" ht="30" x14ac:dyDescent="0.25">
      <c r="B110" s="16" t="s">
        <v>56</v>
      </c>
      <c r="C110" s="33" cm="1">
        <f t="array" ref="C110">SUM(--(FREQUENCY(IF((Table3[Year]=1)*(Table3[Service Received]=B110),MATCH(Table3[Client '#],Table3[Client '#],0)),ROW(Table3[Client '#])-ROW('Service Log'!$A$3)+1)&gt;0))</f>
        <v>0</v>
      </c>
      <c r="D110" s="31">
        <f>SUM(Table3[CountHospital])</f>
        <v>0</v>
      </c>
    </row>
    <row r="111" spans="2:6" x14ac:dyDescent="0.25">
      <c r="B111" s="16" t="s">
        <v>57</v>
      </c>
      <c r="C111" s="33" cm="1">
        <f t="array" ref="C111">SUM(--(FREQUENCY(IF((Table3[Year]=1)*(Table3[Service Received]=B111),MATCH(Table3[Client '#],Table3[Client '#],0)),ROW(Table3[Client '#])-ROW('Service Log'!$A$3)+1)&gt;0))</f>
        <v>0</v>
      </c>
      <c r="D111" s="31">
        <f>SUM(Table3[CountLanguage])</f>
        <v>0</v>
      </c>
    </row>
    <row r="112" spans="2:6" x14ac:dyDescent="0.25">
      <c r="B112" s="16" t="s">
        <v>19</v>
      </c>
      <c r="C112" s="33" cm="1">
        <f t="array" ref="C112">SUM(--(FREQUENCY(IF((Table3[Year]=1)*(Table3[Service Received]=B112),MATCH(Table3[Client '#],Table3[Client '#],0)),ROW(Table3[Client '#])-ROW('Service Log'!$A$3)+1)&gt;0))</f>
        <v>0</v>
      </c>
      <c r="D112" s="31">
        <f>SUM(Table3[CountTransportation])</f>
        <v>0</v>
      </c>
    </row>
    <row r="113" spans="2:5" x14ac:dyDescent="0.25">
      <c r="B113" s="16" t="s">
        <v>58</v>
      </c>
      <c r="C113" s="33" cm="1">
        <f t="array" ref="C113">SUM(--(FREQUENCY(IF((Table3[Year]=1)*(Table3[Service Received]=B113),MATCH(Table3[Client '#],Table3[Client '#],0)),ROW(Table3[Client '#])-ROW('Service Log'!$A$3)+1)&gt;0))</f>
        <v>0</v>
      </c>
      <c r="D113" s="31">
        <f>SUM(Table3[CountAdvocacy])</f>
        <v>0</v>
      </c>
    </row>
    <row r="114" spans="2:5" x14ac:dyDescent="0.25">
      <c r="B114" s="15" t="s">
        <v>20</v>
      </c>
      <c r="C114" s="34" cm="1">
        <f t="array" ref="C114">SUM(--(FREQUENCY(IF((Table3[Year]=1)*(Table3[Service Received]=B114),MATCH(Table3[Client '#],Table3[Client '#],0)),ROW(Table3[Client '#])-ROW('Service Log'!$A$3)+1)&gt;0))</f>
        <v>0</v>
      </c>
      <c r="D114" s="32">
        <f>SUM(Table3[CountOther])</f>
        <v>0</v>
      </c>
    </row>
    <row r="116" spans="2:5" x14ac:dyDescent="0.25">
      <c r="B116" s="12" t="s">
        <v>437</v>
      </c>
    </row>
    <row r="117" spans="2:5" ht="30" customHeight="1" x14ac:dyDescent="0.25">
      <c r="B117" s="19"/>
      <c r="C117" s="21" t="s">
        <v>97</v>
      </c>
      <c r="D117" s="21" t="s">
        <v>98</v>
      </c>
      <c r="E117" s="23" t="s">
        <v>99</v>
      </c>
    </row>
    <row r="118" spans="2:5" x14ac:dyDescent="0.25">
      <c r="B118" s="14" t="s">
        <v>100</v>
      </c>
      <c r="C118" s="29">
        <f>SUM(Table4[ESCountVictim])</f>
        <v>0</v>
      </c>
      <c r="D118" s="29">
        <f>SUM(Table4[ESCountFamily])</f>
        <v>0</v>
      </c>
      <c r="E118" s="27">
        <f>SUM(Table4[ESTotalNights])</f>
        <v>0</v>
      </c>
    </row>
    <row r="119" spans="2:5" x14ac:dyDescent="0.25">
      <c r="B119" s="17" t="s">
        <v>101</v>
      </c>
      <c r="C119" s="30">
        <f>SUM(Table4[THCountVictims])</f>
        <v>0</v>
      </c>
      <c r="D119" s="30">
        <f>SUM(Table4[THCountFamily])</f>
        <v>0</v>
      </c>
      <c r="E119" s="28">
        <f>SUM(Table4[THTotalNights])</f>
        <v>0</v>
      </c>
    </row>
    <row r="121" spans="2:5" x14ac:dyDescent="0.25">
      <c r="B121" s="1" t="s">
        <v>438</v>
      </c>
    </row>
    <row r="122" spans="2:5" x14ac:dyDescent="0.25">
      <c r="B122" s="19"/>
      <c r="C122" s="18" t="s">
        <v>107</v>
      </c>
    </row>
    <row r="123" spans="2:5" ht="30" x14ac:dyDescent="0.25">
      <c r="B123" s="16" t="s">
        <v>102</v>
      </c>
      <c r="C123" s="31">
        <f>SUM(Table5[PrimaryCount])</f>
        <v>0</v>
      </c>
    </row>
    <row r="124" spans="2:5" x14ac:dyDescent="0.25">
      <c r="B124" s="15" t="s">
        <v>103</v>
      </c>
      <c r="C124" s="28">
        <f>SUM(Table5[AllCount])</f>
        <v>0</v>
      </c>
    </row>
    <row r="126" spans="2:5" x14ac:dyDescent="0.25">
      <c r="B126" s="1" t="s">
        <v>439</v>
      </c>
    </row>
    <row r="127" spans="2:5" x14ac:dyDescent="0.25">
      <c r="B127" s="19"/>
      <c r="C127" s="18" t="s">
        <v>107</v>
      </c>
    </row>
    <row r="128" spans="2:5" ht="30" x14ac:dyDescent="0.25">
      <c r="B128" s="15" t="s">
        <v>104</v>
      </c>
      <c r="C128" s="32">
        <f>SUM(Table6[CountFlag])</f>
        <v>0</v>
      </c>
    </row>
    <row r="130" spans="2:4" x14ac:dyDescent="0.25">
      <c r="B130" s="1" t="s">
        <v>440</v>
      </c>
    </row>
    <row r="131" spans="2:4" x14ac:dyDescent="0.25">
      <c r="B131" s="19"/>
      <c r="C131" s="20" t="s">
        <v>105</v>
      </c>
      <c r="D131" s="18" t="s">
        <v>106</v>
      </c>
    </row>
    <row r="132" spans="2:4" x14ac:dyDescent="0.25">
      <c r="B132" s="46" t="s">
        <v>84</v>
      </c>
      <c r="C132" s="34">
        <f>SUM(Table7[TPOGrant])</f>
        <v>0</v>
      </c>
      <c r="D132" s="32">
        <f>SUM(Table7[FPOGrant])</f>
        <v>0</v>
      </c>
    </row>
  </sheetData>
  <sheetProtection algorithmName="SHA-512" hashValue="6JdqYRBP6RsJ7zkIg4JLrZYRnP/YmhSDuKucc9ooL834+xkC4nSOgO+q9FDWRaFB6UTXXAwUgO0Q9HkF8DM7Ig==" saltValue="e1X9ozk1iC7/CuvKM+mjKg==" spinCount="100000" sheet="1" objects="1" scenarios="1"/>
  <mergeCells count="1">
    <mergeCell ref="B1:I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Z4"/>
  <sheetViews>
    <sheetView topLeftCell="D1" workbookViewId="0">
      <selection activeCell="D3" sqref="D3"/>
    </sheetView>
  </sheetViews>
  <sheetFormatPr defaultRowHeight="15" x14ac:dyDescent="0.25"/>
  <cols>
    <col min="1" max="1" width="7.625" hidden="1" customWidth="1"/>
    <col min="2" max="2" width="11.625" hidden="1" customWidth="1"/>
    <col min="3" max="3" width="14" hidden="1" customWidth="1"/>
    <col min="4" max="5" width="14" customWidth="1"/>
    <col min="6" max="6" width="12.375" customWidth="1"/>
    <col min="7" max="7" width="28.375" customWidth="1"/>
    <col min="8" max="8" width="7.25" bestFit="1" customWidth="1"/>
    <col min="9" max="9" width="5.375" bestFit="1" customWidth="1"/>
    <col min="10" max="10" width="11.875" bestFit="1" customWidth="1"/>
    <col min="11" max="11" width="15.5" bestFit="1" customWidth="1"/>
    <col min="12" max="12" width="10" bestFit="1" customWidth="1"/>
    <col min="13" max="13" width="12.875" bestFit="1" customWidth="1"/>
    <col min="14" max="14" width="9.375" bestFit="1" customWidth="1"/>
    <col min="15" max="15" width="16" bestFit="1" customWidth="1"/>
    <col min="16" max="16" width="5.75" bestFit="1" customWidth="1"/>
    <col min="17" max="17" width="12.125" customWidth="1"/>
    <col min="18" max="18" width="15" bestFit="1" customWidth="1"/>
    <col min="19" max="19" width="15.25" bestFit="1" customWidth="1"/>
    <col min="20" max="20" width="19.875" bestFit="1" customWidth="1"/>
    <col min="21" max="21" width="6.25" bestFit="1" customWidth="1"/>
    <col min="22" max="22" width="14.625" bestFit="1" customWidth="1"/>
    <col min="23" max="23" width="13.25" bestFit="1" customWidth="1"/>
    <col min="24" max="24" width="6.75" bestFit="1" customWidth="1"/>
    <col min="25" max="25" width="12.625" bestFit="1" customWidth="1"/>
    <col min="26" max="26" width="16.25" style="2" bestFit="1" customWidth="1"/>
    <col min="27" max="27" width="16.125" bestFit="1" customWidth="1"/>
    <col min="28" max="28" width="18.75" customWidth="1"/>
    <col min="29" max="29" width="11.875" bestFit="1" customWidth="1"/>
    <col min="30" max="30" width="9.5" bestFit="1" customWidth="1"/>
    <col min="31" max="31" width="7.375" bestFit="1" customWidth="1"/>
    <col min="32" max="32" width="17.75" bestFit="1" customWidth="1"/>
    <col min="33" max="33" width="8" bestFit="1" customWidth="1"/>
    <col min="34" max="34" width="17.625" bestFit="1" customWidth="1"/>
    <col min="35" max="35" width="20.875" bestFit="1" customWidth="1"/>
    <col min="36" max="37" width="10.125" bestFit="1" customWidth="1"/>
    <col min="38" max="38" width="9.375" bestFit="1" customWidth="1"/>
    <col min="39" max="39" width="12.875" bestFit="1" customWidth="1"/>
    <col min="40" max="40" width="8.875" bestFit="1" customWidth="1"/>
    <col min="41" max="41" width="10" bestFit="1" customWidth="1"/>
    <col min="42" max="42" width="21.25" bestFit="1" customWidth="1"/>
    <col min="43" max="43" width="9.625" bestFit="1" customWidth="1"/>
    <col min="44" max="44" width="28.5" bestFit="1" customWidth="1"/>
    <col min="45" max="45" width="58.75" bestFit="1" customWidth="1"/>
    <col min="46" max="46" width="27.25" bestFit="1" customWidth="1"/>
    <col min="47" max="47" width="36.875" bestFit="1" customWidth="1"/>
    <col min="48" max="48" width="8.875" bestFit="1" customWidth="1"/>
    <col min="49" max="49" width="15.75" bestFit="1" customWidth="1"/>
    <col min="50" max="50" width="26.875" bestFit="1" customWidth="1"/>
    <col min="51" max="51" width="35.375" bestFit="1" customWidth="1"/>
    <col min="52" max="52" width="39.375" bestFit="1" customWidth="1"/>
    <col min="53" max="53" width="41.75" bestFit="1" customWidth="1"/>
    <col min="54" max="54" width="22.75" bestFit="1" customWidth="1"/>
    <col min="55" max="55" width="38.125" bestFit="1" customWidth="1"/>
    <col min="56" max="56" width="14.5" customWidth="1"/>
    <col min="57" max="57" width="6.125" bestFit="1" customWidth="1"/>
    <col min="58" max="58" width="13.25" bestFit="1" customWidth="1"/>
    <col min="59" max="173" width="9" hidden="1" customWidth="1"/>
    <col min="174" max="208" width="0" hidden="1" customWidth="1"/>
  </cols>
  <sheetData>
    <row r="1" spans="1:208" ht="15.75" x14ac:dyDescent="0.25">
      <c r="C1" s="53"/>
      <c r="D1" s="59" t="s">
        <v>316</v>
      </c>
      <c r="E1" s="59"/>
      <c r="F1" s="59"/>
      <c r="G1" s="59"/>
      <c r="H1" s="69" t="s">
        <v>411</v>
      </c>
      <c r="I1" s="69"/>
      <c r="J1" s="69"/>
      <c r="K1" s="69"/>
      <c r="L1" s="69"/>
      <c r="M1" s="69"/>
      <c r="N1" s="69"/>
      <c r="O1" s="61" t="s">
        <v>142</v>
      </c>
      <c r="P1" s="61"/>
      <c r="Q1" s="61"/>
      <c r="R1" s="61"/>
      <c r="S1" s="61"/>
      <c r="T1" s="61"/>
      <c r="U1" s="61"/>
      <c r="V1" s="61"/>
      <c r="W1" s="61"/>
      <c r="X1" s="62" t="s">
        <v>143</v>
      </c>
      <c r="Y1" s="62"/>
      <c r="Z1" s="62"/>
      <c r="AA1" s="62"/>
      <c r="AB1" s="62"/>
      <c r="AC1" s="62"/>
      <c r="AD1" s="62"/>
      <c r="AE1" s="60" t="s">
        <v>144</v>
      </c>
      <c r="AF1" s="60"/>
      <c r="AG1" s="60"/>
      <c r="AH1" s="60"/>
      <c r="AI1" s="60"/>
      <c r="AJ1" s="60"/>
      <c r="AK1" s="60"/>
      <c r="AL1" s="60"/>
      <c r="AM1" s="60"/>
      <c r="AN1" s="60"/>
      <c r="AO1" s="65" t="s">
        <v>145</v>
      </c>
      <c r="AP1" s="65"/>
      <c r="AQ1" s="65"/>
      <c r="AR1" s="65"/>
      <c r="AS1" s="65"/>
      <c r="AT1" s="65"/>
      <c r="AU1" s="65"/>
      <c r="AV1" s="65"/>
      <c r="AW1" s="65"/>
      <c r="AX1" s="65"/>
      <c r="AY1" s="65"/>
      <c r="AZ1" s="65"/>
      <c r="BA1" s="65"/>
      <c r="BB1" s="65"/>
      <c r="BC1" s="65"/>
      <c r="BD1" s="65"/>
      <c r="BE1" s="65"/>
      <c r="BF1" s="65"/>
    </row>
    <row r="2" spans="1:208" ht="30" customHeight="1" x14ac:dyDescent="0.25">
      <c r="A2" s="3" t="s">
        <v>72</v>
      </c>
      <c r="B2" s="3" t="s">
        <v>140</v>
      </c>
      <c r="C2" s="3" t="s">
        <v>141</v>
      </c>
      <c r="D2" s="68" t="s">
        <v>315</v>
      </c>
      <c r="E2" s="68" t="s">
        <v>0</v>
      </c>
      <c r="F2" s="68" t="s">
        <v>26</v>
      </c>
      <c r="G2" s="68" t="s">
        <v>1</v>
      </c>
      <c r="H2" s="3" t="s">
        <v>22</v>
      </c>
      <c r="I2" s="3" t="s">
        <v>23</v>
      </c>
      <c r="J2" s="3" t="s">
        <v>194</v>
      </c>
      <c r="K2" s="3" t="s">
        <v>407</v>
      </c>
      <c r="L2" s="3" t="s">
        <v>408</v>
      </c>
      <c r="M2" s="3" t="s">
        <v>409</v>
      </c>
      <c r="N2" s="3" t="s">
        <v>410</v>
      </c>
      <c r="O2" s="4" t="s">
        <v>65</v>
      </c>
      <c r="P2" s="4" t="s">
        <v>35</v>
      </c>
      <c r="Q2" s="4" t="s">
        <v>36</v>
      </c>
      <c r="R2" s="4" t="s">
        <v>66</v>
      </c>
      <c r="S2" s="4" t="s">
        <v>380</v>
      </c>
      <c r="T2" s="4" t="s">
        <v>67</v>
      </c>
      <c r="U2" s="4" t="s">
        <v>37</v>
      </c>
      <c r="V2" s="4" t="s">
        <v>68</v>
      </c>
      <c r="W2" s="4" t="s">
        <v>71</v>
      </c>
      <c r="X2" s="5" t="s">
        <v>38</v>
      </c>
      <c r="Y2" s="5" t="s">
        <v>73</v>
      </c>
      <c r="Z2" s="5" t="s">
        <v>396</v>
      </c>
      <c r="AA2" s="5" t="s">
        <v>394</v>
      </c>
      <c r="AB2" s="5" t="s">
        <v>69</v>
      </c>
      <c r="AC2" s="5" t="s">
        <v>397</v>
      </c>
      <c r="AD2" s="5" t="s">
        <v>39</v>
      </c>
      <c r="AE2" s="6" t="s">
        <v>2</v>
      </c>
      <c r="AF2" s="6" t="s">
        <v>70</v>
      </c>
      <c r="AG2" s="6" t="s">
        <v>4</v>
      </c>
      <c r="AH2" s="6" t="s">
        <v>335</v>
      </c>
      <c r="AI2" s="6" t="s">
        <v>345</v>
      </c>
      <c r="AJ2" s="6" t="s">
        <v>346</v>
      </c>
      <c r="AK2" s="6" t="s">
        <v>347</v>
      </c>
      <c r="AL2" s="6" t="s">
        <v>348</v>
      </c>
      <c r="AM2" s="6" t="s">
        <v>349</v>
      </c>
      <c r="AN2" s="6" t="s">
        <v>350</v>
      </c>
      <c r="AO2" s="37" t="s">
        <v>6</v>
      </c>
      <c r="AP2" s="37" t="s">
        <v>5</v>
      </c>
      <c r="AQ2" s="37" t="s">
        <v>7</v>
      </c>
      <c r="AR2" s="37" t="s">
        <v>8</v>
      </c>
      <c r="AS2" s="37" t="s">
        <v>383</v>
      </c>
      <c r="AT2" s="37" t="s">
        <v>10</v>
      </c>
      <c r="AU2" s="37" t="s">
        <v>384</v>
      </c>
      <c r="AV2" s="37" t="s">
        <v>11</v>
      </c>
      <c r="AW2" s="37" t="s">
        <v>12</v>
      </c>
      <c r="AX2" s="37" t="s">
        <v>13</v>
      </c>
      <c r="AY2" s="37" t="s">
        <v>14</v>
      </c>
      <c r="AZ2" s="37" t="s">
        <v>15</v>
      </c>
      <c r="BA2" s="37" t="s">
        <v>16</v>
      </c>
      <c r="BB2" s="37" t="s">
        <v>17</v>
      </c>
      <c r="BC2" s="37" t="s">
        <v>18</v>
      </c>
      <c r="BD2" s="37" t="s">
        <v>19</v>
      </c>
      <c r="BE2" s="37" t="s">
        <v>20</v>
      </c>
      <c r="BF2" s="37" t="s">
        <v>34</v>
      </c>
      <c r="BG2" s="26" t="s">
        <v>174</v>
      </c>
      <c r="BH2" s="26" t="s">
        <v>215</v>
      </c>
      <c r="BI2" s="26" t="s">
        <v>175</v>
      </c>
      <c r="BJ2" s="26" t="s">
        <v>214</v>
      </c>
      <c r="BK2" s="26" t="s">
        <v>333</v>
      </c>
      <c r="BL2" s="26" t="s">
        <v>334</v>
      </c>
      <c r="BM2" s="26" t="s">
        <v>176</v>
      </c>
      <c r="BN2" s="26" t="s">
        <v>177</v>
      </c>
      <c r="BO2" s="26" t="s">
        <v>178</v>
      </c>
      <c r="BP2" s="26" t="s">
        <v>336</v>
      </c>
      <c r="BQ2" s="26" t="s">
        <v>441</v>
      </c>
      <c r="BR2" s="26" t="s">
        <v>113</v>
      </c>
      <c r="BS2" s="26" t="s">
        <v>114</v>
      </c>
      <c r="BT2" s="26" t="s">
        <v>115</v>
      </c>
      <c r="BU2" s="26" t="s">
        <v>116</v>
      </c>
      <c r="BV2" s="26" t="s">
        <v>117</v>
      </c>
      <c r="BW2" s="26" t="s">
        <v>118</v>
      </c>
      <c r="BX2" s="26" t="s">
        <v>385</v>
      </c>
      <c r="BY2" s="26" t="s">
        <v>119</v>
      </c>
      <c r="BZ2" s="26" t="s">
        <v>120</v>
      </c>
      <c r="CA2" s="26" t="s">
        <v>121</v>
      </c>
      <c r="CB2" s="26" t="s">
        <v>122</v>
      </c>
      <c r="CC2" s="26" t="s">
        <v>123</v>
      </c>
      <c r="CD2" s="26" t="s">
        <v>124</v>
      </c>
      <c r="CE2" s="26" t="s">
        <v>125</v>
      </c>
      <c r="CF2" s="26" t="s">
        <v>126</v>
      </c>
      <c r="CG2" s="26" t="s">
        <v>127</v>
      </c>
      <c r="CH2" s="26" t="s">
        <v>128</v>
      </c>
      <c r="CI2" s="26" t="s">
        <v>185</v>
      </c>
      <c r="CJ2" s="26" t="s">
        <v>189</v>
      </c>
      <c r="CK2" s="26" t="s">
        <v>190</v>
      </c>
      <c r="CL2" s="26" t="s">
        <v>191</v>
      </c>
      <c r="CM2" s="26" t="s">
        <v>337</v>
      </c>
      <c r="CN2" s="26" t="s">
        <v>182</v>
      </c>
      <c r="CO2" s="26" t="s">
        <v>183</v>
      </c>
      <c r="CP2" s="26" t="s">
        <v>184</v>
      </c>
      <c r="CQ2" s="26" t="s">
        <v>340</v>
      </c>
      <c r="CR2" s="26" t="s">
        <v>186</v>
      </c>
      <c r="CS2" s="26" t="s">
        <v>187</v>
      </c>
      <c r="CT2" s="26" t="s">
        <v>188</v>
      </c>
      <c r="CU2" s="26" t="s">
        <v>356</v>
      </c>
      <c r="CV2" s="26" t="s">
        <v>357</v>
      </c>
      <c r="CW2" s="26" t="s">
        <v>358</v>
      </c>
      <c r="CX2" s="26" t="s">
        <v>359</v>
      </c>
      <c r="CY2" s="26" t="s">
        <v>360</v>
      </c>
      <c r="CZ2" s="26" t="s">
        <v>361</v>
      </c>
      <c r="DA2" s="26" t="s">
        <v>362</v>
      </c>
      <c r="DB2" s="26" t="s">
        <v>363</v>
      </c>
      <c r="DC2" s="26" t="s">
        <v>364</v>
      </c>
      <c r="DD2" s="26" t="s">
        <v>450</v>
      </c>
      <c r="DE2" s="26" t="s">
        <v>404</v>
      </c>
      <c r="DF2" s="26" t="s">
        <v>405</v>
      </c>
      <c r="DG2" s="26" t="s">
        <v>406</v>
      </c>
      <c r="DH2" s="26" t="s">
        <v>398</v>
      </c>
      <c r="DI2" s="26" t="s">
        <v>399</v>
      </c>
      <c r="DJ2" s="26" t="s">
        <v>400</v>
      </c>
      <c r="DK2" s="26" t="s">
        <v>193</v>
      </c>
      <c r="DL2" s="26" t="s">
        <v>195</v>
      </c>
      <c r="DM2" s="26" t="s">
        <v>196</v>
      </c>
      <c r="DN2" s="26" t="s">
        <v>197</v>
      </c>
      <c r="DO2" s="26" t="s">
        <v>198</v>
      </c>
      <c r="DP2" s="26" t="s">
        <v>199</v>
      </c>
      <c r="DQ2" s="40" t="s">
        <v>192</v>
      </c>
      <c r="DR2" s="40" t="s">
        <v>200</v>
      </c>
      <c r="DS2" s="40" t="s">
        <v>201</v>
      </c>
      <c r="DT2" s="40" t="s">
        <v>202</v>
      </c>
      <c r="DU2" s="40" t="s">
        <v>381</v>
      </c>
      <c r="DV2" s="40" t="s">
        <v>203</v>
      </c>
      <c r="DW2" s="40" t="s">
        <v>206</v>
      </c>
      <c r="DX2" s="40" t="s">
        <v>204</v>
      </c>
      <c r="DY2" s="40" t="s">
        <v>205</v>
      </c>
      <c r="DZ2" s="40" t="s">
        <v>207</v>
      </c>
      <c r="EA2" s="40" t="s">
        <v>208</v>
      </c>
      <c r="EB2" s="40" t="s">
        <v>209</v>
      </c>
      <c r="EC2" s="40" t="s">
        <v>210</v>
      </c>
      <c r="ED2" s="40" t="s">
        <v>211</v>
      </c>
      <c r="EE2" s="40" t="s">
        <v>212</v>
      </c>
      <c r="EF2" s="41" t="s">
        <v>213</v>
      </c>
      <c r="EG2" s="26" t="s">
        <v>216</v>
      </c>
      <c r="EH2" s="26" t="s">
        <v>217</v>
      </c>
      <c r="EI2" s="26" t="s">
        <v>218</v>
      </c>
      <c r="EJ2" s="26" t="s">
        <v>338</v>
      </c>
      <c r="EK2" s="26" t="s">
        <v>442</v>
      </c>
      <c r="EL2" s="26" t="s">
        <v>219</v>
      </c>
      <c r="EM2" s="26" t="s">
        <v>220</v>
      </c>
      <c r="EN2" s="26" t="s">
        <v>221</v>
      </c>
      <c r="EO2" s="26" t="s">
        <v>222</v>
      </c>
      <c r="EP2" s="26" t="s">
        <v>223</v>
      </c>
      <c r="EQ2" s="26" t="s">
        <v>224</v>
      </c>
      <c r="ER2" s="26" t="s">
        <v>386</v>
      </c>
      <c r="ES2" s="26" t="s">
        <v>225</v>
      </c>
      <c r="ET2" s="26" t="s">
        <v>226</v>
      </c>
      <c r="EU2" s="26" t="s">
        <v>227</v>
      </c>
      <c r="EV2" s="26" t="s">
        <v>228</v>
      </c>
      <c r="EW2" s="26" t="s">
        <v>229</v>
      </c>
      <c r="EX2" s="26" t="s">
        <v>230</v>
      </c>
      <c r="EY2" s="26" t="s">
        <v>231</v>
      </c>
      <c r="EZ2" s="26" t="s">
        <v>232</v>
      </c>
      <c r="FA2" s="26" t="s">
        <v>233</v>
      </c>
      <c r="FB2" s="26" t="s">
        <v>234</v>
      </c>
      <c r="FC2" s="26" t="s">
        <v>235</v>
      </c>
      <c r="FD2" s="26" t="s">
        <v>236</v>
      </c>
      <c r="FE2" s="26" t="s">
        <v>237</v>
      </c>
      <c r="FF2" s="26" t="s">
        <v>238</v>
      </c>
      <c r="FG2" s="26" t="s">
        <v>339</v>
      </c>
      <c r="FH2" s="26" t="s">
        <v>239</v>
      </c>
      <c r="FI2" s="26" t="s">
        <v>240</v>
      </c>
      <c r="FJ2" s="26" t="s">
        <v>241</v>
      </c>
      <c r="FK2" s="26" t="s">
        <v>341</v>
      </c>
      <c r="FL2" s="26" t="s">
        <v>242</v>
      </c>
      <c r="FM2" s="26" t="s">
        <v>243</v>
      </c>
      <c r="FN2" s="26" t="s">
        <v>244</v>
      </c>
      <c r="FO2" s="26" t="s">
        <v>365</v>
      </c>
      <c r="FP2" s="26" t="s">
        <v>366</v>
      </c>
      <c r="FQ2" s="26" t="s">
        <v>367</v>
      </c>
      <c r="FR2" s="26" t="s">
        <v>368</v>
      </c>
      <c r="FS2" s="26" t="s">
        <v>370</v>
      </c>
      <c r="FT2" s="26" t="s">
        <v>369</v>
      </c>
      <c r="FU2" s="26" t="s">
        <v>371</v>
      </c>
      <c r="FV2" s="26" t="s">
        <v>372</v>
      </c>
      <c r="FW2" s="26" t="s">
        <v>373</v>
      </c>
      <c r="FX2" s="26" t="s">
        <v>374</v>
      </c>
      <c r="FY2" s="26" t="s">
        <v>245</v>
      </c>
      <c r="FZ2" s="26" t="s">
        <v>246</v>
      </c>
      <c r="GA2" s="26" t="s">
        <v>247</v>
      </c>
      <c r="GB2" s="26" t="s">
        <v>401</v>
      </c>
      <c r="GC2" s="26" t="s">
        <v>402</v>
      </c>
      <c r="GD2" s="26" t="s">
        <v>403</v>
      </c>
      <c r="GE2" s="26" t="s">
        <v>248</v>
      </c>
      <c r="GF2" s="26" t="s">
        <v>249</v>
      </c>
      <c r="GG2" s="26" t="s">
        <v>250</v>
      </c>
      <c r="GH2" s="26" t="s">
        <v>251</v>
      </c>
      <c r="GI2" s="26" t="s">
        <v>252</v>
      </c>
      <c r="GJ2" s="26" t="s">
        <v>253</v>
      </c>
      <c r="GK2" s="40" t="s">
        <v>254</v>
      </c>
      <c r="GL2" s="40" t="s">
        <v>255</v>
      </c>
      <c r="GM2" s="40" t="s">
        <v>256</v>
      </c>
      <c r="GN2" s="40" t="s">
        <v>257</v>
      </c>
      <c r="GO2" s="40" t="s">
        <v>382</v>
      </c>
      <c r="GP2" s="40" t="s">
        <v>258</v>
      </c>
      <c r="GQ2" s="40" t="s">
        <v>259</v>
      </c>
      <c r="GR2" s="40" t="s">
        <v>260</v>
      </c>
      <c r="GS2" s="40" t="s">
        <v>261</v>
      </c>
      <c r="GT2" s="40" t="s">
        <v>262</v>
      </c>
      <c r="GU2" s="40" t="s">
        <v>263</v>
      </c>
      <c r="GV2" s="40" t="s">
        <v>264</v>
      </c>
      <c r="GW2" s="40" t="s">
        <v>265</v>
      </c>
      <c r="GX2" s="40" t="s">
        <v>266</v>
      </c>
      <c r="GY2" s="40" t="s">
        <v>267</v>
      </c>
      <c r="GZ2" s="41" t="s">
        <v>268</v>
      </c>
    </row>
    <row r="3" spans="1:208" x14ac:dyDescent="0.25">
      <c r="A3" s="8">
        <v>1</v>
      </c>
      <c r="B3" s="9">
        <f t="array" ref="B3">MIN(IF(Table3[Name]=Table1[[#This Row],[Name]],Table3[Date of Service]))</f>
        <v>0</v>
      </c>
      <c r="C3" s="9">
        <f t="array" ref="C3">MAX(IF(Table3[Name]=Table1[[#This Row],[Name]],Table3[Date of Service]))</f>
        <v>0</v>
      </c>
      <c r="Z3"/>
      <c r="AJ3" s="2"/>
      <c r="AK3" s="2"/>
      <c r="AL3" s="2"/>
      <c r="AM3" s="2"/>
      <c r="AN3" s="2"/>
      <c r="BG3" s="8">
        <f>YEAR(Table1[[#This Row],[First Date of Service]])</f>
        <v>1900</v>
      </c>
      <c r="BH3" s="8">
        <f>IF(AND(Table1[[#This Row],[First Date of Service]]&gt;='Quarterly SAPR Data'!$C$3,Table1[[#This Row],[First Date of Service]]&lt;='Quarterly SAPR Data'!$E$3),1,0)</f>
        <v>0</v>
      </c>
      <c r="BI3" s="8">
        <f>YEAR(Table1[[#This Row],[Last Date of Service]])</f>
        <v>1900</v>
      </c>
      <c r="BJ3" s="8">
        <f>IF(AND(Table1[[#This Row],[Last Date of Service]]&gt;='Quarterly SAPR Data'!$C$3,Table1[[#This Row],[Last Date of Service]]&lt;='Quarterly SAPR Data'!$E$3),1,0)</f>
        <v>0</v>
      </c>
      <c r="BK3" s="8" cm="1">
        <f t="array" ref="BK3">MAX(IF(Table3[Name]=Table1[[#This Row],[Name]],Table3[YearFlag]))</f>
        <v>0</v>
      </c>
      <c r="BL3" s="8" cm="1">
        <f t="array" ref="BL3">MAX(IF(Table3[Name]=Table1[[#This Row],[Name]],Table3[Quarter]))</f>
        <v>0</v>
      </c>
      <c r="BM3" s="8">
        <f>IF(AND(Table1[[#This Row],[YearFlag]]=1,Table1[[#This Row],[Presenting Victimization]]=Lists!$A$2),1,0)</f>
        <v>0</v>
      </c>
      <c r="BN3" s="8">
        <f>IF(AND(Table1[[#This Row],[YearFlag]]=1,Table1[[#This Row],[Presenting Victimization]]=Lists!$A$3),1,0)</f>
        <v>0</v>
      </c>
      <c r="BO3" s="8">
        <f>IF(AND(Table1[[#This Row],[YearFlag]]=1,Table1[[#This Row],[Presenting Victimization]]=Lists!$A$4),1,0)</f>
        <v>0</v>
      </c>
      <c r="BP3" s="8">
        <f>IF(AND(Table1[[#This Row],[YearFlag]]=1,Table1[[#This Row],[Presenting Victimization]]=Lists!$A$5),1,0)</f>
        <v>0</v>
      </c>
      <c r="BQ3" s="8">
        <f>IF(AND(Table1[[#This Row],[YearFlag]]=1,SUM(Table1[[#This Row],[AddSA]:[AddFM]])&gt;0),1,0)</f>
        <v>0</v>
      </c>
      <c r="BR3" s="8">
        <f>IF(AND(Table1[[#This Row],[YearFlag]]=1,Table1[[#This Row],[Conflict of interest]]=Lists!$E$2),1,0)</f>
        <v>0</v>
      </c>
      <c r="BS3" s="8">
        <f>IF(AND(Table1[[#This Row],[YearFlag]]=1,Table1[[#This Row],[Did not meet statutory requirements]]=Lists!$E$2),1,0)</f>
        <v>0</v>
      </c>
      <c r="BT3" s="8">
        <f>IF(AND(Table1[[#This Row],[YearFlag]]=1,Table1[[#This Row],[Hours of operation]]=Lists!$E$2),1,0)</f>
        <v>0</v>
      </c>
      <c r="BU3" s="8">
        <f>IF(AND(Table1[[#This Row],[YearFlag]]=1,Table1[[#This Row],[Insufficient or lack of culturally appropriate services]]=Lists!$E$2),1,0)</f>
        <v>0</v>
      </c>
      <c r="BV3" s="8">
        <f>IF(AND(Table1[[#This Row],[YearFlag]]=1,Table1[[#This Row],[Insufficient or lack of agency capacity to provide language access (including sign language or assistive communication devices)]]=Lists!$E$2),1,0)</f>
        <v>0</v>
      </c>
      <c r="BW3" s="8">
        <f>IF(AND(Table1[[#This Row],[YearFlag]]=1,Table1[[#This Row],[Insufficient or lack of services for people with disabilities]]=Lists!$E$2),1,0)</f>
        <v>0</v>
      </c>
      <c r="BX3" s="8">
        <f>IF(AND(Table1[[#This Row],[YearFlag]]=1,Table1[[#This Row],[Insufficient or lack of services for people who are D/deaf or hard of hearing]]=Lists!$E$2),1,0)</f>
        <v>0</v>
      </c>
      <c r="BY3" s="8">
        <f>IF(AND(Table1[[#This Row],[YearFlag]]=1,Table1[[#This Row],[Lack of childcare]]=Lists!$E$2),1,0)</f>
        <v>0</v>
      </c>
      <c r="BZ3" s="8">
        <f>IF(AND(Table1[[#This Row],[YearFlag]]=1,Table1[[#This Row],[Program reached capacity]]=Lists!$E$2),1,0)</f>
        <v>0</v>
      </c>
      <c r="CA3" s="8">
        <f>IF(AND(Table1[[#This Row],[YearFlag]]=1,Table1[[#This Row],[Program rules not acceptable to vicitm/survivor]]=Lists!$E$2),1,0)</f>
        <v>0</v>
      </c>
      <c r="CB3" s="8">
        <f>IF(AND(Table1[[#This Row],[YearFlag]]=1,Table1[[#This Row],[Program unable to provide service due to limited resources/priority-setting]]=Lists!$E$2),1,0)</f>
        <v>0</v>
      </c>
      <c r="CC3" s="8">
        <f>IF(AND(Table1[[#This Row],[YearFlag]]=1,Table1[[#This Row],[Services inappropriate or inadequate for vicitms/survivors with mental health issues]]=Lists!$E$2),1,0)</f>
        <v>0</v>
      </c>
      <c r="CD3" s="8">
        <f>IF(AND(Table1[[#This Row],[YearFlag]]=1,Table1[[#This Row],[Services inappropriate or inadequate for vicitms/survivors with substance abuse issues]]=Lists!$E$2),1,0)</f>
        <v>0</v>
      </c>
      <c r="CE3" s="8">
        <f>IF(AND(Table1[[#This Row],[YearFlag]]=1,Table1[[#This Row],[Services not appropriate for victim/survivor]]=Lists!$E$2),1,0)</f>
        <v>0</v>
      </c>
      <c r="CF3" s="8">
        <f>IF(AND(Table1[[#This Row],[YearFlag]]=1,Table1[[#This Row],[Services not available for victim/survivors accompanied by male adolescents]]=Lists!$E$2),1,0)</f>
        <v>0</v>
      </c>
      <c r="CG3" s="8">
        <f>IF(AND(Table1[[#This Row],[YearFlag]]=1,Table1[[#This Row],[Transportation]]=Lists!$E$2),1,0)</f>
        <v>0</v>
      </c>
      <c r="CH3" s="8">
        <f>IF(AND(Table1[[#This Row],[YearFlag]]=1,Table1[[#This Row],[Other]]=Lists!$E$2),1,0)</f>
        <v>0</v>
      </c>
      <c r="CI3" s="8">
        <f>SUM(Table1[[#This Row],[ConflictCount]:[OtherCount]])</f>
        <v>0</v>
      </c>
      <c r="CJ3" s="8">
        <f>IF(AND(Table1[[#This Row],[CountPrimarySA]]&gt;0,Table1[[#This Row],[PartialCount]]=0),1,0)</f>
        <v>0</v>
      </c>
      <c r="CK3" s="8">
        <f>IF(AND(Table1[[#This Row],[CountPrimaryDV]]&gt;0,Table1[[#This Row],[PartialCount]]=0),1,0)</f>
        <v>0</v>
      </c>
      <c r="CL3" s="8">
        <f>IF(AND(Table1[[#This Row],[CountPrimaryST]]&gt;0,Table1[[#This Row],[PartialCount]]=0),1,0)</f>
        <v>0</v>
      </c>
      <c r="CM3" s="8">
        <f>IF(AND(Table1[[#This Row],[CountPrimaryFGM]]&gt;0,Table1[[#This Row],[PartialCount]]=0),1,0)</f>
        <v>0</v>
      </c>
      <c r="CN3" s="8">
        <f>IF(AND(Table1[[#This Row],[CountPrimarySA]]&gt;0,Table1[[#This Row],[PartialCount]]&gt;0),1,0)</f>
        <v>0</v>
      </c>
      <c r="CO3" s="8">
        <f>IF(AND(Table1[[#This Row],[CountPrimaryDV]]&gt;0,Table1[[#This Row],[PartialCount]]&gt;0),1,0)</f>
        <v>0</v>
      </c>
      <c r="CP3" s="8">
        <f>IF(AND(Table1[[#This Row],[CountPrimaryST]]&gt;0,Table1[[#This Row],[PartialCount]]&gt;0),1,0)</f>
        <v>0</v>
      </c>
      <c r="CQ3" s="8">
        <f>IF(AND(Table1[[#This Row],[CountPrimaryFGM]]&gt;0,Table1[[#This Row],[PartialCount]]&gt;0),1,0)</f>
        <v>0</v>
      </c>
      <c r="CR3" s="8">
        <f>IF(AND(Table1[[#This Row],[CountPrimarySA]]=1,Table1[[#This Row],[YearFirst]]='Annual SAPR Data'!$C$3),1,0)</f>
        <v>0</v>
      </c>
      <c r="CS3" s="8">
        <f>IF(AND(Table1[[#This Row],[CountPrimaryDV]]=1,Table1[[#This Row],[YearFirst]]='Annual SAPR Data'!$C$3),1,0)</f>
        <v>0</v>
      </c>
      <c r="CT3" s="8">
        <f>IF(AND(Table1[[#This Row],[CountPrimaryST]]=1,Table1[[#This Row],[YearFirst]]='Annual SAPR Data'!$C$3),1,0)</f>
        <v>0</v>
      </c>
      <c r="CU3" s="8">
        <f>IF(AND(Table1[[#This Row],[YearFlag]]=1,Table1[[#This Row],[Sexual Assault]]=Lists!$E$2),1,0)</f>
        <v>0</v>
      </c>
      <c r="CV3" s="8">
        <f>IF(AND(Table1[[#This Row],[YearFlag]]=1,Table1[[#This Row],[Domestic violence/ dating violence]]=Lists!$E$2),1,0)</f>
        <v>0</v>
      </c>
      <c r="CW3" s="8">
        <f>IF(AND(Table1[[#This Row],[YearFlag]]=1,Table1[[#This Row],[Stalking]]=Lists!$E$2),1,0)</f>
        <v>0</v>
      </c>
      <c r="CX3" s="8">
        <f>IF(AND(Table1[[#This Row],[YearFlag]]=1,Table1[[#This Row],[Female Genital Mutilation/Cutting]]=Lists!$E$2),1,0)</f>
        <v>0</v>
      </c>
      <c r="CY3" s="8">
        <f>IF(AND(Table1[[#This Row],[YearFlag]]=1,Table1[[#This Row],[Adult Survivor of Child Sexual Abuse]]=Lists!$E$2),1,0)</f>
        <v>0</v>
      </c>
      <c r="CZ3" s="8">
        <f>IF(AND(Table1[[#This Row],[YearFlag]]=1,Table1[[#This Row],[Sex Trafficking]]=Lists!$E$2),1,0)</f>
        <v>0</v>
      </c>
      <c r="DA3" s="8">
        <f>IF(AND(Table1[[#This Row],[YearFlag]]=1,Table1[[#This Row],[Labor Trafficking]]=Lists!$E$2),1,0)</f>
        <v>0</v>
      </c>
      <c r="DB3" s="8">
        <f>IF(AND(Table1[[#This Row],[YearFlag]]=1,Table1[[#This Row],[Economic Abuse]]=Lists!$E$2),1,0)</f>
        <v>0</v>
      </c>
      <c r="DC3" s="8">
        <f>IF(AND(Table1[[#This Row],[YearFlag]]=1,Table1[[#This Row],[Technological Abuse]]=Lists!$E$2),1,0)</f>
        <v>0</v>
      </c>
      <c r="DD3" s="8">
        <f>IF(AND(Table1[[#This Row],[YearFlag]]=1,Table1[[#This Row],[Forced Marriage]]=Lists!$E$2),1,0)</f>
        <v>0</v>
      </c>
      <c r="DE3" s="8">
        <f>IF(AND(Table1[[#This Row],[YearFlag]]=1,Table1[[#This Row],[Female]]=Lists!$E$2),1,0)</f>
        <v>0</v>
      </c>
      <c r="DF3" s="8">
        <f>IF(AND(Table1[[#This Row],[YearFlag]]=1,Table1[[#This Row],[Male]]=Lists!$E$2),1,0)</f>
        <v>0</v>
      </c>
      <c r="DG3" s="8">
        <f>IF(AND(Table1[[#This Row],[YearFlag]]=1,Table1[[#This Row],[Transgender]]=Lists!$E$2),1,0)</f>
        <v>0</v>
      </c>
      <c r="DH3" s="8">
        <f>IF(AND(Table1[[#This Row],[YearFlag]]=1,Table1[[#This Row],[Non-Binary/Non-Conforming]]=Lists!$E$2),1,0)</f>
        <v>0</v>
      </c>
      <c r="DI3" s="8">
        <f>IF(AND(Table1[[#This Row],[YearFlag]]=1,Table1[[#This Row],[Two-Spirit]]=Lists!$E$2),1,0)</f>
        <v>0</v>
      </c>
      <c r="DJ3" s="8">
        <f>IF(AND(Table1[[#This Row],[YearFlag]]=1,Table1[[#This Row],[Other Gender]]=Lists!$E$2),1,0)</f>
        <v>0</v>
      </c>
      <c r="DK3" s="8">
        <f>IF(AND(Table1[[#This Row],[YearFlag]]=1,Table1[[#This Row],[Unknown Gender]]=Lists!$E$2),1,0)</f>
        <v>0</v>
      </c>
      <c r="DL3" s="8">
        <f>IF(AND(Table1[[#This Row],[YearFlag]]=1,Table1[[#This Row],[Age]]=Lists!$C$7),1,0)</f>
        <v>0</v>
      </c>
      <c r="DM3" s="8">
        <f>IF(AND(Table1[[#This Row],[YearFlag]]=1,Table1[[#This Row],[Age]]=Lists!$C$8),1,0)</f>
        <v>0</v>
      </c>
      <c r="DN3" s="8">
        <f>IF(AND(Table1[[#This Row],[YearFlag]]=1,Table1[[#This Row],[Age]]=Lists!$C$9),1,0)</f>
        <v>0</v>
      </c>
      <c r="DO3" s="8">
        <f>IF(AND(Table1[[#This Row],[YearFlag]]=1,Table1[[#This Row],[Age]]=Lists!$C$10),1,0)</f>
        <v>0</v>
      </c>
      <c r="DP3" s="8">
        <f>IF(AND(Table1[[#This Row],[YearFlag]]=1,Table1[[#This Row],[Age]]=Lists!$C$11),1,0)</f>
        <v>0</v>
      </c>
      <c r="DQ3" s="8">
        <f>IF(AND(Table1[[#This Row],[YearFlag]]=1,Table1[[#This Row],[American Indian/ Alaska Native]]=Lists!$E$2),1,0)</f>
        <v>0</v>
      </c>
      <c r="DR3" s="8">
        <f>IF(AND(Table1[[#This Row],[YearFlag]]=1,Table1[[#This Row],[Asian]]=Lists!$E$2),1,0)</f>
        <v>0</v>
      </c>
      <c r="DS3" s="8">
        <f>IF(AND(Table1[[#This Row],[YearFlag]]=1,Table1[[#This Row],[Black/African American]]=Lists!$E$2),1,0)</f>
        <v>0</v>
      </c>
      <c r="DT3" s="8">
        <f>IF(AND(Table1[[#This Row],[YearFlag]]=1,Table1[[#This Row],[Hispanic/Latino/ Spanish Origin]]=Lists!$E$2),1,0)</f>
        <v>0</v>
      </c>
      <c r="DU3" s="8">
        <f>IF(AND(Table1[[#This Row],[YearFlag]]=1,Table1[[#This Row],[Middle Eastern or North African]]=Lists!$E$2),1,0)</f>
        <v>0</v>
      </c>
      <c r="DV3" s="8">
        <f>IF(AND(Table1[[#This Row],[YearFlag]]=1,Table1[[#This Row],[Native Hawaiian/ Other Pacific Islander]]=Lists!$E$2),1,0)</f>
        <v>0</v>
      </c>
      <c r="DW3" s="8">
        <f>IF(AND(Table1[[#This Row],[YearFlag]]=1,Table1[[#This Row],[White]]=Lists!$E$2),1,0)</f>
        <v>0</v>
      </c>
      <c r="DX3" s="8">
        <f>IF(AND(Table1[[#This Row],[YearFlag]]=1,Table1[[#This Row],[Other race/ ethnicity/origin]]=Lists!$E$2),1,0)</f>
        <v>0</v>
      </c>
      <c r="DY3" s="8">
        <f>IF(AND(Table1[[#This Row],[YearFlag]]=1,Table1[[#This Row],[Unknown race/ethnicity]]=Lists!$E$2),1,0)</f>
        <v>0</v>
      </c>
      <c r="DZ3" s="8">
        <f>IF(AND(Table1[[#This Row],[YearFlag]]=1,Table1[[#This Row],[LGBTQ]]=Lists!$E$2),1,0)</f>
        <v>0</v>
      </c>
      <c r="EA3" s="8">
        <f>IF(AND(Table1[[#This Row],[YearFlag]]=1,Table1[[#This Row],[Has disability]]=Lists!$E$2),1,0)</f>
        <v>0</v>
      </c>
      <c r="EB3" s="8">
        <f>IF(AND(Table1[[#This Row],[YearFlag]]=1,Table1[[#This Row],[Primary language not English]]=Lists!$E$2),1,0)</f>
        <v>0</v>
      </c>
      <c r="EC3" s="8">
        <f>IF(AND(Table1[[#This Row],[YearFlag]]=1,Table1[[#This Row],[D/deaf or hard of hearing]]=Lists!$E$2),1,0)</f>
        <v>0</v>
      </c>
      <c r="ED3" s="8">
        <f>IF(AND(Table1[[#This Row],[YearFlag]]=1,Table1[[#This Row],[Immigrant/refugee/ asylum seeker]]=Lists!$E$2),1,0)</f>
        <v>0</v>
      </c>
      <c r="EE3" s="8">
        <f>IF(AND(Table1[[#This Row],[YearFlag]]=1,Table1[[#This Row],[Are/were incarcerated]]=Lists!$E$2),1,0)</f>
        <v>0</v>
      </c>
      <c r="EF3" s="8">
        <f>IF(AND(Table1[[#This Row],[YearFlag]]=1,Table1[[#This Row],[Live in rural area]]=Lists!$E$2),1,0)</f>
        <v>0</v>
      </c>
      <c r="EG3" s="8">
        <f>IF(AND(Table1[[#This Row],[Qflag]]=1,Table1[[#This Row],[Presenting Victimization]]=Lists!$A$2),1,0)</f>
        <v>0</v>
      </c>
      <c r="EH3" s="8">
        <f>IF(AND(Table1[[#This Row],[Qflag]]=1,Table1[[#This Row],[Presenting Victimization]]=Lists!$A$3),1,0)</f>
        <v>0</v>
      </c>
      <c r="EI3" s="8">
        <f>IF(AND(Table1[[#This Row],[Qflag]]=1,Table1[[#This Row],[Presenting Victimization]]=Lists!$A$4),1,0)</f>
        <v>0</v>
      </c>
      <c r="EJ3" s="8">
        <f>IF(AND(Table1[[#This Row],[Qflag]]=1,Table1[[#This Row],[Presenting Victimization]]=Lists!$A$5),1,0)</f>
        <v>0</v>
      </c>
      <c r="EK3" s="8">
        <f>IF(AND(Table1[[#This Row],[Qflag]]=1,SUM(Table1[[#This Row],[AddSA]:[AddFM]])&gt;0),1,0)</f>
        <v>0</v>
      </c>
      <c r="EL3" s="8">
        <f>IF(AND(Table1[[#This Row],[Qflag]]=1,Table1[[#This Row],[Conflict of interest]]=Lists!$E$2),1,0)</f>
        <v>0</v>
      </c>
      <c r="EM3" s="8">
        <f>IF(AND(Table1[[#This Row],[Qflag]]=1,Table1[[#This Row],[Did not meet statutory requirements]]=Lists!$E$2),1,0)</f>
        <v>0</v>
      </c>
      <c r="EN3" s="8">
        <f>IF(AND(Table1[[#This Row],[Qflag]]=1,Table1[[#This Row],[Hours of operation]]=Lists!$E$2),1,0)</f>
        <v>0</v>
      </c>
      <c r="EO3" s="8">
        <f>IF(AND(Table1[[#This Row],[Qflag]]=1,Table1[[#This Row],[Insufficient or lack of culturally appropriate services]]=Lists!$E$2),1,0)</f>
        <v>0</v>
      </c>
      <c r="EP3" s="8">
        <f>IF(AND(Table1[[#This Row],[Qflag]]=1,Table1[[#This Row],[Insufficient or lack of agency capacity to provide language access (including sign language or assistive communication devices)]]=Lists!$E$2),1,0)</f>
        <v>0</v>
      </c>
      <c r="EQ3" s="8">
        <f>IF(AND(Table1[[#This Row],[Qflag]]=1,Table1[[#This Row],[Insufficient or lack of services for people with disabilities]]=Lists!$E$2),1,0)</f>
        <v>0</v>
      </c>
      <c r="ER3" s="8">
        <f>IF(AND(Table1[[#This Row],[Qflag]]=1,Table1[[#This Row],[Insufficient or lack of services for people who are D/deaf or hard of hearing]]=Lists!$E$2),1,0)</f>
        <v>0</v>
      </c>
      <c r="ES3" s="8">
        <f>IF(AND(Table1[[#This Row],[Qflag]]=1,Table1[[#This Row],[Lack of childcare]]=Lists!$E$2),1,0)</f>
        <v>0</v>
      </c>
      <c r="ET3" s="8">
        <f>IF(AND(Table1[[#This Row],[Qflag]]=1,Table1[[#This Row],[Program reached capacity]]=Lists!$E$2),1,0)</f>
        <v>0</v>
      </c>
      <c r="EU3" s="8">
        <f>IF(AND(Table1[[#This Row],[Qflag]]=1,Table1[[#This Row],[Program rules not acceptable to vicitm/survivor]]=Lists!$E$2),1,0)</f>
        <v>0</v>
      </c>
      <c r="EV3" s="8">
        <f>IF(AND(Table1[[#This Row],[Qflag]]=1,Table1[[#This Row],[Program unable to provide service due to limited resources/priority-setting]]=Lists!$E$2),1,0)</f>
        <v>0</v>
      </c>
      <c r="EW3" s="8">
        <f>IF(AND(Table1[[#This Row],[Qflag]]=1,Table1[[#This Row],[Services inappropriate or inadequate for vicitms/survivors with mental health issues]]=Lists!$E$2),1,0)</f>
        <v>0</v>
      </c>
      <c r="EX3" s="8">
        <f>IF(AND(Table1[[#This Row],[Qflag]]=1,Table1[[#This Row],[Services inappropriate or inadequate for vicitms/survivors with substance abuse issues]]=Lists!$E$2),1,0)</f>
        <v>0</v>
      </c>
      <c r="EY3" s="8">
        <f>IF(AND(Table1[[#This Row],[Qflag]]=1,Table1[[#This Row],[Services not appropriate for victim/survivor]]=Lists!$E$2),1,0)</f>
        <v>0</v>
      </c>
      <c r="EZ3" s="8">
        <f>IF(AND(Table1[[#This Row],[Qflag]]=1,Table1[[#This Row],[Services not available for victim/survivors accompanied by male adolescents]]=Lists!$E$2),1,0)</f>
        <v>0</v>
      </c>
      <c r="FA3" s="8">
        <f>IF(AND(Table1[[#This Row],[Qflag]]=1,Table1[[#This Row],[Transportation]]=Lists!$E$2),1,0)</f>
        <v>0</v>
      </c>
      <c r="FB3" s="8">
        <f>IF(AND(Table1[[#This Row],[Qflag]]=1,Table1[[#This Row],[Other]]=Lists!$E$2),1,0)</f>
        <v>0</v>
      </c>
      <c r="FC3" s="8">
        <f>SUM(Table1[[#This Row],[ConflictCountq]:[OtherCountq]])</f>
        <v>0</v>
      </c>
      <c r="FD3" s="8">
        <f>IF(AND(Table1[[#This Row],[CountPrimarySAq]]&gt;0,Table1[[#This Row],[PartialCountq]]=0),1,0)</f>
        <v>0</v>
      </c>
      <c r="FE3" s="8">
        <f>IF(AND(Table1[[#This Row],[CountPrimaryDVq]]&gt;0,Table1[[#This Row],[PartialCountq]]=0),1,0)</f>
        <v>0</v>
      </c>
      <c r="FF3" s="8">
        <f>IF(AND(Table1[[#This Row],[CountPrimarySTq]]&gt;0,Table1[[#This Row],[PartialCountq]]=0),1,0)</f>
        <v>0</v>
      </c>
      <c r="FG3" s="8">
        <f>IF(AND(Table1[[#This Row],[CountPrimaryFGMq]]&gt;0,Table1[[#This Row],[PartialCountq]]=0),1,0)</f>
        <v>0</v>
      </c>
      <c r="FH3" s="8">
        <f>IF(AND(Table1[[#This Row],[CountPrimarySAq]]&gt;0,Table1[[#This Row],[PartialCountq]]&gt;0),1,0)</f>
        <v>0</v>
      </c>
      <c r="FI3" s="8">
        <f>IF(AND(Table1[[#This Row],[CountPrimaryDVq]]&gt;0,Table1[[#This Row],[PartialCountq]]&gt;0),1,0)</f>
        <v>0</v>
      </c>
      <c r="FJ3" s="8">
        <f>IF(AND(Table1[[#This Row],[CountPrimarySTq]]&gt;0,Table1[[#This Row],[PartialCountq]]&gt;0),1,0)</f>
        <v>0</v>
      </c>
      <c r="FK3" s="8">
        <f>IF(AND(Table1[[#This Row],[CountPrimaryFGMq]]&gt;0,Table1[[#This Row],[PartialCountq]]&gt;0),1,0)</f>
        <v>0</v>
      </c>
      <c r="FL3" s="8">
        <f>IF(AND(Table1[[#This Row],[CountPrimarySAq]]=1,Table1[[#This Row],[QFirst]]=1),1,0)</f>
        <v>0</v>
      </c>
      <c r="FM3" s="8">
        <f>IF(AND(Table1[[#This Row],[CountPrimaryDVq]]=1,Table1[[#This Row],[QFirst]]=1),1,0)</f>
        <v>0</v>
      </c>
      <c r="FN3" s="8">
        <f>IF(AND(Table1[[#This Row],[CountPrimarySTq]]=1,Table1[[#This Row],[QFirst]]=1),1,0)</f>
        <v>0</v>
      </c>
      <c r="FO3" s="8">
        <f>IF(AND(Table1[[#This Row],[Qflag]]=1,Table1[[#This Row],[Sexual Assault]]=Lists!$E$2),1,0)</f>
        <v>0</v>
      </c>
      <c r="FP3" s="8">
        <f>IF(AND(Table1[[#This Row],[Qflag]]=1,Table1[[#This Row],[Domestic violence/ dating violence]]=Lists!$E$2),1,0)</f>
        <v>0</v>
      </c>
      <c r="FQ3" s="8">
        <f>IF(AND(Table1[[#This Row],[Qflag]]=1,Table1[[#This Row],[Stalking]]=Lists!$E$2),1,0)</f>
        <v>0</v>
      </c>
      <c r="FR3" s="8">
        <f>IF(AND(Table1[[#This Row],[Qflag]]=1,Table1[[#This Row],[Female Genital Mutilation/Cutting]]=Lists!$E$2),1,0)</f>
        <v>0</v>
      </c>
      <c r="FS3" s="8">
        <f>IF(AND(Table1[[#This Row],[Qflag]]=1,Table1[[#This Row],[Adult Survivor of Child Sexual Abuse]]=Lists!$E$2),1,0)</f>
        <v>0</v>
      </c>
      <c r="FT3" s="8">
        <f>IF(AND(Table1[[#This Row],[Qflag]]=1,Table1[[#This Row],[Sex Trafficking]]=Lists!$E$2),1,0)</f>
        <v>0</v>
      </c>
      <c r="FU3" s="8">
        <f>IF(AND(Table1[[#This Row],[Qflag]]=1,Table1[[#This Row],[Labor Trafficking]]=Lists!$E$2),1,0)</f>
        <v>0</v>
      </c>
      <c r="FV3" s="8">
        <f>IF(AND(Table1[[#This Row],[Qflag]]=1,Table1[[#This Row],[Economic Abuse]]=Lists!$E$2),1,0)</f>
        <v>0</v>
      </c>
      <c r="FW3" s="8">
        <f>IF(AND(Table1[[#This Row],[Qflag]]=1,Table1[[#This Row],[Technological Abuse]]=Lists!$E$2),1,0)</f>
        <v>0</v>
      </c>
      <c r="FX3" s="8">
        <f>IF(AND(Table1[[#This Row],[Qflag]]=1,Table1[[#This Row],[Forced Marriage]]=Lists!$E$2),1,0)</f>
        <v>0</v>
      </c>
      <c r="FY3" s="8">
        <f>IF(AND(Table1[[#This Row],[Qflag]]=1,Table1[[#This Row],[Female]]=Lists!$E$2),1,0)</f>
        <v>0</v>
      </c>
      <c r="FZ3" s="8">
        <f>IF(AND(Table1[[#This Row],[Qflag]]=1,Table1[[#This Row],[Male]]=Lists!$E$2),1,0)</f>
        <v>0</v>
      </c>
      <c r="GA3" s="8">
        <f>IF(AND(Table1[[#This Row],[Qflag]]=1,Table1[[#This Row],[Transgender]]=Lists!$E$2),1,0)</f>
        <v>0</v>
      </c>
      <c r="GB3" s="8">
        <f>IF(AND(Table1[[#This Row],[Qflag]]=1,Table1[[#This Row],[Non-Binary/Non-Conforming]]=Lists!$E$2),1,0)</f>
        <v>0</v>
      </c>
      <c r="GC3" s="8">
        <f>IF(AND(Table1[[#This Row],[Qflag]]=1,Table1[[#This Row],[Two-Spirit]]=Lists!$E$2),1,0)</f>
        <v>0</v>
      </c>
      <c r="GD3" s="8">
        <f>IF(AND(Table1[[#This Row],[Qflag]]=1,Table1[[#This Row],[Other Gender]]=Lists!$E$2),1,0)</f>
        <v>0</v>
      </c>
      <c r="GE3" s="8">
        <f>IF(AND(Table1[[#This Row],[Qflag]]=1,Table1[[#This Row],[Unknown Gender]]=Lists!$E$2),1,0)</f>
        <v>0</v>
      </c>
      <c r="GF3" s="8">
        <f>IF(AND(Table1[[#This Row],[Qflag]]=1,Table1[[#This Row],[Age]]=Lists!$C$7),1,0)</f>
        <v>0</v>
      </c>
      <c r="GG3" s="8">
        <f>IF(AND(Table1[[#This Row],[Qflag]]=1,Table1[[#This Row],[Age]]=Lists!$C$8),1,0)</f>
        <v>0</v>
      </c>
      <c r="GH3" s="8">
        <f>IF(AND(Table1[[#This Row],[Qflag]]=1,Table1[[#This Row],[Age]]=Lists!$C$9),1,0)</f>
        <v>0</v>
      </c>
      <c r="GI3" s="8">
        <f>IF(AND(Table1[[#This Row],[Qflag]]=1,Table1[[#This Row],[Age]]=Lists!$C$10),1,0)</f>
        <v>0</v>
      </c>
      <c r="GJ3" s="8">
        <f>IF(AND(Table1[[#This Row],[Qflag]]=1,Table1[[#This Row],[Age]]=Lists!$C$11),1,0)</f>
        <v>0</v>
      </c>
      <c r="GK3" s="8">
        <f>IF(AND(Table1[[#This Row],[Qflag]]=1,Table1[[#This Row],[American Indian/ Alaska Native]]=Lists!$E$2),1,0)</f>
        <v>0</v>
      </c>
      <c r="GL3" s="8">
        <f>IF(AND(Table1[[#This Row],[Qflag]]=1,Table1[[#This Row],[Asian]]=Lists!$E$2),1,0)</f>
        <v>0</v>
      </c>
      <c r="GM3" s="8">
        <f>IF(AND(Table1[[#This Row],[Qflag]]=1,Table1[[#This Row],[Black/African American]]=Lists!$E$2),1,0)</f>
        <v>0</v>
      </c>
      <c r="GN3" s="8">
        <f>IF(AND(Table1[[#This Row],[Qflag]]=1,Table1[[#This Row],[Hispanic/Latino/ Spanish Origin]]=Lists!$E$2),1,0)</f>
        <v>0</v>
      </c>
      <c r="GO3" s="8">
        <f>IF(AND(Table1[[#This Row],[Qflag]]=1,Table1[[#This Row],[Middle Eastern or North African]]=Lists!$E$2),1,0)</f>
        <v>0</v>
      </c>
      <c r="GP3" s="8">
        <f>IF(AND(Table1[[#This Row],[Qflag]]=1,Table1[[#This Row],[Native Hawaiian/ Other Pacific Islander]]=Lists!$E$2),1,0)</f>
        <v>0</v>
      </c>
      <c r="GQ3" s="8">
        <f>IF(AND(Table1[[#This Row],[Qflag]]=1,Table1[[#This Row],[White]]=Lists!$E$2),1,0)</f>
        <v>0</v>
      </c>
      <c r="GR3" s="8">
        <f>IF(AND(Table1[[#This Row],[Qflag]]=1,Table1[[#This Row],[Other race/ ethnicity/origin]]=Lists!$E$2),1,0)</f>
        <v>0</v>
      </c>
      <c r="GS3" s="8">
        <f>IF(AND(Table1[[#This Row],[Qflag]]=1,Table1[[#This Row],[Unknown race/ethnicity]]=Lists!$E$2),1,0)</f>
        <v>0</v>
      </c>
      <c r="GT3" s="8">
        <f>IF(AND(Table1[[#This Row],[Qflag]]=1,Table1[[#This Row],[LGBTQ]]=Lists!$E$2),1,0)</f>
        <v>0</v>
      </c>
      <c r="GU3" s="8">
        <f>IF(AND(Table1[[#This Row],[Qflag]]=1,Table1[[#This Row],[Has disability]]=Lists!$E$2),1,0)</f>
        <v>0</v>
      </c>
      <c r="GV3" s="8">
        <f>IF(AND(Table1[[#This Row],[Qflag]]=1,Table1[[#This Row],[Primary language not English]]=Lists!$E$2),1,0)</f>
        <v>0</v>
      </c>
      <c r="GW3" s="8">
        <f>IF(AND(Table1[[#This Row],[Qflag]]=1,Table1[[#This Row],[D/deaf or hard of hearing]]=Lists!$E$2),1,0)</f>
        <v>0</v>
      </c>
      <c r="GX3" s="8">
        <f>IF(AND(Table1[[#This Row],[Qflag]]=1,Table1[[#This Row],[Immigrant/refugee/ asylum seeker]]=Lists!$E$2),1,0)</f>
        <v>0</v>
      </c>
      <c r="GY3" s="8">
        <f>IF(AND(Table1[[#This Row],[Qflag]]=1,Table1[[#This Row],[Are/were incarcerated]]=Lists!$E$2),1,0)</f>
        <v>0</v>
      </c>
      <c r="GZ3" s="8">
        <f>IF(AND(Table1[[#This Row],[Qflag]]=1,Table1[[#This Row],[Live in rural area]]=Lists!$E$2),1,0)</f>
        <v>0</v>
      </c>
    </row>
    <row r="4" spans="1:208" x14ac:dyDescent="0.25">
      <c r="A4" s="8">
        <f>$A3+1</f>
        <v>2</v>
      </c>
      <c r="B4" s="9">
        <f t="array" ref="B4">MIN(IF(Table3[Name]=Table1[[#This Row],[Name]],Table3[Date of Service]))</f>
        <v>0</v>
      </c>
      <c r="C4" s="9">
        <f t="array" ref="C4">MAX(IF(Table3[Name]=Table1[[#This Row],[Name]],Table3[Date of Service]))</f>
        <v>0</v>
      </c>
      <c r="Z4"/>
      <c r="BG4">
        <f>YEAR(Table1[[#This Row],[First Date of Service]])</f>
        <v>1900</v>
      </c>
      <c r="BH4">
        <f>IF(AND(Table1[[#This Row],[First Date of Service]]&gt;='Quarterly SAPR Data'!$C$3,Table1[[#This Row],[First Date of Service]]&lt;='Quarterly SAPR Data'!$E$3),1,0)</f>
        <v>0</v>
      </c>
      <c r="BI4">
        <f>YEAR(Table1[[#This Row],[Last Date of Service]])</f>
        <v>1900</v>
      </c>
      <c r="BJ4">
        <f>IF(AND(Table1[[#This Row],[Last Date of Service]]&gt;='Quarterly SAPR Data'!$C$3,Table1[[#This Row],[Last Date of Service]]&lt;='Quarterly SAPR Data'!$E$3),1,0)</f>
        <v>0</v>
      </c>
      <c r="BK4" cm="1">
        <f t="array" ref="BK4">MAX(IF(Table3[Name]=Table1[[#This Row],[Name]],Table3[YearFlag]))</f>
        <v>0</v>
      </c>
      <c r="BL4" s="8" cm="1">
        <f t="array" ref="BL4">MAX(IF(Table3[Name]=Table1[[#This Row],[Name]],Table3[Quarter]))</f>
        <v>0</v>
      </c>
      <c r="BM4" s="8">
        <f>IF(AND(Table1[[#This Row],[YearFlag]]=1,Table1[[#This Row],[Presenting Victimization]]=Lists!$A$2),1,0)</f>
        <v>0</v>
      </c>
      <c r="BN4" s="8">
        <f>IF(AND(Table1[[#This Row],[YearFlag]]=1,Table1[[#This Row],[Presenting Victimization]]=Lists!$A$3),1,0)</f>
        <v>0</v>
      </c>
      <c r="BO4" s="8">
        <f>IF(AND(Table1[[#This Row],[YearFlag]]=1,Table1[[#This Row],[Presenting Victimization]]=Lists!$A$4),1,0)</f>
        <v>0</v>
      </c>
      <c r="BP4" s="8">
        <f>IF(AND(Table1[[#This Row],[YearFlag]]=1,Table1[[#This Row],[Presenting Victimization]]=Lists!$A$5),1,0)</f>
        <v>0</v>
      </c>
      <c r="BQ4" s="8">
        <f>IF(AND(Table1[[#This Row],[YearFlag]]=1,SUM(Table1[[#This Row],[AddSA]:[AddFM]])&gt;0),1,0)</f>
        <v>0</v>
      </c>
      <c r="BR4">
        <f>IF(AND(Table1[[#This Row],[YearFlag]]=1,Table1[[#This Row],[Conflict of interest]]=Lists!$E$2),1,0)</f>
        <v>0</v>
      </c>
      <c r="BS4">
        <f>IF(AND(Table1[[#This Row],[YearFlag]]=1,Table1[[#This Row],[Did not meet statutory requirements]]=Lists!$E$2),1,0)</f>
        <v>0</v>
      </c>
      <c r="BT4">
        <f>IF(AND(Table1[[#This Row],[YearFlag]]=1,Table1[[#This Row],[Hours of operation]]=Lists!$E$2),1,0)</f>
        <v>0</v>
      </c>
      <c r="BU4">
        <f>IF(AND(Table1[[#This Row],[YearFlag]]=1,Table1[[#This Row],[Insufficient or lack of culturally appropriate services]]=Lists!$E$2),1,0)</f>
        <v>0</v>
      </c>
      <c r="BV4">
        <f>IF(AND(Table1[[#This Row],[YearFlag]]=1,Table1[[#This Row],[Insufficient or lack of agency capacity to provide language access (including sign language or assistive communication devices)]]=Lists!$E$2),1,0)</f>
        <v>0</v>
      </c>
      <c r="BW4">
        <f>IF(AND(Table1[[#This Row],[YearFlag]]=1,Table1[[#This Row],[Insufficient or lack of services for people with disabilities]]=Lists!$E$2),1,0)</f>
        <v>0</v>
      </c>
      <c r="BX4">
        <f>IF(AND(Table1[[#This Row],[YearFlag]]=1,Table1[[#This Row],[Insufficient or lack of services for people who are D/deaf or hard of hearing]]=Lists!$E$2),1,0)</f>
        <v>0</v>
      </c>
      <c r="BY4">
        <f>IF(AND(Table1[[#This Row],[YearFlag]]=1,Table1[[#This Row],[Lack of childcare]]=Lists!$E$2),1,0)</f>
        <v>0</v>
      </c>
      <c r="BZ4">
        <f>IF(AND(Table1[[#This Row],[YearFlag]]=1,Table1[[#This Row],[Program reached capacity]]=Lists!$E$2),1,0)</f>
        <v>0</v>
      </c>
      <c r="CA4">
        <f>IF(AND(Table1[[#This Row],[YearFlag]]=1,Table1[[#This Row],[Program rules not acceptable to vicitm/survivor]]=Lists!$E$2),1,0)</f>
        <v>0</v>
      </c>
      <c r="CB4">
        <f>IF(AND(Table1[[#This Row],[YearFlag]]=1,Table1[[#This Row],[Program unable to provide service due to limited resources/priority-setting]]=Lists!$E$2),1,0)</f>
        <v>0</v>
      </c>
      <c r="CC4">
        <f>IF(AND(Table1[[#This Row],[YearFlag]]=1,Table1[[#This Row],[Services inappropriate or inadequate for vicitms/survivors with mental health issues]]=Lists!$E$2),1,0)</f>
        <v>0</v>
      </c>
      <c r="CD4">
        <f>IF(AND(Table1[[#This Row],[YearFlag]]=1,Table1[[#This Row],[Services inappropriate or inadequate for vicitms/survivors with substance abuse issues]]=Lists!$E$2),1,0)</f>
        <v>0</v>
      </c>
      <c r="CE4">
        <f>IF(AND(Table1[[#This Row],[YearFlag]]=1,Table1[[#This Row],[Services not appropriate for victim/survivor]]=Lists!$E$2),1,0)</f>
        <v>0</v>
      </c>
      <c r="CF4">
        <f>IF(AND(Table1[[#This Row],[YearFlag]]=1,Table1[[#This Row],[Services not available for victim/survivors accompanied by male adolescents]]=Lists!$E$2),1,0)</f>
        <v>0</v>
      </c>
      <c r="CG4">
        <f>IF(AND(Table1[[#This Row],[YearFlag]]=1,Table1[[#This Row],[Transportation]]=Lists!$E$2),1,0)</f>
        <v>0</v>
      </c>
      <c r="CH4">
        <f>IF(AND(Table1[[#This Row],[YearFlag]]=1,Table1[[#This Row],[Other]]=Lists!$E$2),1,0)</f>
        <v>0</v>
      </c>
      <c r="CI4">
        <f>SUM(Table1[[#This Row],[ConflictCount]:[OtherCount]])</f>
        <v>0</v>
      </c>
      <c r="CJ4">
        <f>IF(AND(Table1[[#This Row],[CountPrimarySA]]&gt;0,Table1[[#This Row],[PartialCount]]=0),1,0)</f>
        <v>0</v>
      </c>
      <c r="CK4">
        <f>IF(AND(Table1[[#This Row],[CountPrimaryDV]]&gt;0,Table1[[#This Row],[PartialCount]]=0),1,0)</f>
        <v>0</v>
      </c>
      <c r="CL4">
        <f>IF(AND(Table1[[#This Row],[CountPrimaryST]]&gt;0,Table1[[#This Row],[PartialCount]]=0),1,0)</f>
        <v>0</v>
      </c>
      <c r="CM4">
        <f>IF(AND(Table1[[#This Row],[CountPrimaryFGM]]&gt;0,Table1[[#This Row],[PartialCount]]=0),1,0)</f>
        <v>0</v>
      </c>
      <c r="CN4">
        <f>IF(AND(Table1[[#This Row],[CountPrimarySA]]&gt;0,Table1[[#This Row],[PartialCount]]&gt;0),1,0)</f>
        <v>0</v>
      </c>
      <c r="CO4">
        <f>IF(AND(Table1[[#This Row],[CountPrimaryDV]]&gt;0,Table1[[#This Row],[PartialCount]]&gt;0),1,0)</f>
        <v>0</v>
      </c>
      <c r="CP4">
        <f>IF(AND(Table1[[#This Row],[CountPrimaryST]]&gt;0,Table1[[#This Row],[PartialCount]]&gt;0),1,0)</f>
        <v>0</v>
      </c>
      <c r="CQ4">
        <f>IF(AND(Table1[[#This Row],[CountPrimaryFGM]]&gt;0,Table1[[#This Row],[PartialCount]]&gt;0),1,0)</f>
        <v>0</v>
      </c>
      <c r="CR4">
        <f>IF(AND(Table1[[#This Row],[CountPrimarySA]]=1,Table1[[#This Row],[YearFirst]]='Annual SAPR Data'!$C$3),1,0)</f>
        <v>0</v>
      </c>
      <c r="CS4">
        <f>IF(AND(Table1[[#This Row],[CountPrimaryDV]]=1,Table1[[#This Row],[YearFirst]]='Annual SAPR Data'!$C$3),1,0)</f>
        <v>0</v>
      </c>
      <c r="CT4">
        <f>IF(AND(Table1[[#This Row],[CountPrimaryST]]=1,Table1[[#This Row],[YearFirst]]='Annual SAPR Data'!$C$3),1,0)</f>
        <v>0</v>
      </c>
      <c r="CU4">
        <f>IF(AND(Table1[[#This Row],[YearFlag]]=1,Table1[[#This Row],[Sexual Assault]]=Lists!$E$2),1,0)</f>
        <v>0</v>
      </c>
      <c r="CV4">
        <f>IF(AND(Table1[[#This Row],[YearFlag]]=1,Table1[[#This Row],[Domestic violence/ dating violence]]=Lists!$E$2),1,0)</f>
        <v>0</v>
      </c>
      <c r="CW4">
        <f>IF(AND(Table1[[#This Row],[YearFlag]]=1,Table1[[#This Row],[Stalking]]=Lists!$E$2),1,0)</f>
        <v>0</v>
      </c>
      <c r="CX4">
        <f>IF(AND(Table1[[#This Row],[YearFlag]]=1,Table1[[#This Row],[Female Genital Mutilation/Cutting]]=Lists!$E$2),1,0)</f>
        <v>0</v>
      </c>
      <c r="CY4">
        <f>IF(AND(Table1[[#This Row],[YearFlag]]=1,Table1[[#This Row],[Adult Survivor of Child Sexual Abuse]]=Lists!$E$2),1,0)</f>
        <v>0</v>
      </c>
      <c r="CZ4">
        <f>IF(AND(Table1[[#This Row],[YearFlag]]=1,Table1[[#This Row],[Sex Trafficking]]=Lists!$E$2),1,0)</f>
        <v>0</v>
      </c>
      <c r="DA4" s="8">
        <f>IF(AND(Table1[[#This Row],[YearFlag]]=1,Table1[[#This Row],[Labor Trafficking]]=Lists!$E$2),1,0)</f>
        <v>0</v>
      </c>
      <c r="DB4" s="8">
        <f>IF(AND(Table1[[#This Row],[YearFlag]]=1,Table1[[#This Row],[Economic Abuse]]=Lists!$E$2),1,0)</f>
        <v>0</v>
      </c>
      <c r="DC4" s="8">
        <f>IF(AND(Table1[[#This Row],[YearFlag]]=1,Table1[[#This Row],[Technological Abuse]]=Lists!$E$2),1,0)</f>
        <v>0</v>
      </c>
      <c r="DD4" s="8">
        <f>IF(AND(Table1[[#This Row],[YearFlag]]=1,Table1[[#This Row],[Forced Marriage]]=Lists!$E$2),1,0)</f>
        <v>0</v>
      </c>
      <c r="DE4" s="8">
        <f>IF(AND(Table1[[#This Row],[YearFlag]]=1,Table1[[#This Row],[Female]]=Lists!$E$2),1,0)</f>
        <v>0</v>
      </c>
      <c r="DF4" s="8">
        <f>IF(AND(Table1[[#This Row],[YearFlag]]=1,Table1[[#This Row],[Male]]=Lists!$E$2),1,0)</f>
        <v>0</v>
      </c>
      <c r="DG4" s="8">
        <f>IF(AND(Table1[[#This Row],[YearFlag]]=1,Table1[[#This Row],[Transgender]]=Lists!$E$2),1,0)</f>
        <v>0</v>
      </c>
      <c r="DH4" s="8">
        <f>IF(AND(Table1[[#This Row],[YearFlag]]=1,Table1[[#This Row],[Non-Binary/Non-Conforming]]=Lists!$E$2),1,0)</f>
        <v>0</v>
      </c>
      <c r="DI4" s="8">
        <f>IF(AND(Table1[[#This Row],[YearFlag]]=1,Table1[[#This Row],[Two-Spirit]]=Lists!$E$2),1,0)</f>
        <v>0</v>
      </c>
      <c r="DJ4" s="8">
        <f>IF(AND(Table1[[#This Row],[YearFlag]]=1,Table1[[#This Row],[Other Gender]]=Lists!$E$2),1,0)</f>
        <v>0</v>
      </c>
      <c r="DK4" s="8">
        <f>IF(AND(Table1[[#This Row],[YearFlag]]=1,Table1[[#This Row],[Unknown Gender]]=Lists!$E$2),1,0)</f>
        <v>0</v>
      </c>
      <c r="DL4" s="8">
        <f>IF(AND(Table1[[#This Row],[YearFlag]]=1,Table1[[#This Row],[Age]]=Lists!$C$7),1,0)</f>
        <v>0</v>
      </c>
      <c r="DM4" s="8">
        <f>IF(AND(Table1[[#This Row],[YearFlag]]=1,Table1[[#This Row],[Age]]=Lists!$C$8),1,0)</f>
        <v>0</v>
      </c>
      <c r="DN4" s="8">
        <f>IF(AND(Table1[[#This Row],[YearFlag]]=1,Table1[[#This Row],[Age]]=Lists!$C$9),1,0)</f>
        <v>0</v>
      </c>
      <c r="DO4" s="8">
        <f>IF(AND(Table1[[#This Row],[YearFlag]]=1,Table1[[#This Row],[Age]]=Lists!$C$10),1,0)</f>
        <v>0</v>
      </c>
      <c r="DP4" s="8">
        <f>IF(AND(Table1[[#This Row],[YearFlag]]=1,Table1[[#This Row],[Age]]=Lists!$C$11),1,0)</f>
        <v>0</v>
      </c>
      <c r="DQ4" s="8">
        <f>IF(AND(Table1[[#This Row],[YearFlag]]=1,Table1[[#This Row],[American Indian/ Alaska Native]]=Lists!$E$2),1,0)</f>
        <v>0</v>
      </c>
      <c r="DR4" s="8">
        <f>IF(AND(Table1[[#This Row],[YearFlag]]=1,Table1[[#This Row],[Asian]]=Lists!$E$2),1,0)</f>
        <v>0</v>
      </c>
      <c r="DS4" s="8">
        <f>IF(AND(Table1[[#This Row],[YearFlag]]=1,Table1[[#This Row],[Black/African American]]=Lists!$E$2),1,0)</f>
        <v>0</v>
      </c>
      <c r="DT4" s="8">
        <f>IF(AND(Table1[[#This Row],[YearFlag]]=1,Table1[[#This Row],[Hispanic/Latino/ Spanish Origin]]=Lists!$E$2),1,0)</f>
        <v>0</v>
      </c>
      <c r="DU4" s="8">
        <f>IF(AND(Table1[[#This Row],[YearFlag]]=1,Table1[[#This Row],[Middle Eastern or North African]]=Lists!$E$2),1,0)</f>
        <v>0</v>
      </c>
      <c r="DV4" s="8">
        <f>IF(AND(Table1[[#This Row],[YearFlag]]=1,Table1[[#This Row],[Native Hawaiian/ Other Pacific Islander]]=Lists!$E$2),1,0)</f>
        <v>0</v>
      </c>
      <c r="DW4" s="8">
        <f>IF(AND(Table1[[#This Row],[YearFlag]]=1,Table1[[#This Row],[White]]=Lists!$E$2),1,0)</f>
        <v>0</v>
      </c>
      <c r="DX4" s="8">
        <f>IF(AND(Table1[[#This Row],[YearFlag]]=1,Table1[[#This Row],[Other race/ ethnicity/origin]]=Lists!$E$2),1,0)</f>
        <v>0</v>
      </c>
      <c r="DY4" s="8">
        <f>IF(AND(Table1[[#This Row],[YearFlag]]=1,Table1[[#This Row],[Unknown race/ethnicity]]=Lists!$E$2),1,0)</f>
        <v>0</v>
      </c>
      <c r="DZ4" s="8">
        <f>IF(AND(Table1[[#This Row],[YearFlag]]=1,Table1[[#This Row],[LGBTQ]]=Lists!$E$2),1,0)</f>
        <v>0</v>
      </c>
      <c r="EA4" s="8">
        <f>IF(AND(Table1[[#This Row],[YearFlag]]=1,Table1[[#This Row],[Has disability]]=Lists!$E$2),1,0)</f>
        <v>0</v>
      </c>
      <c r="EB4" s="8">
        <f>IF(AND(Table1[[#This Row],[YearFlag]]=1,Table1[[#This Row],[Primary language not English]]=Lists!$E$2),1,0)</f>
        <v>0</v>
      </c>
      <c r="EC4" s="8">
        <f>IF(AND(Table1[[#This Row],[YearFlag]]=1,Table1[[#This Row],[D/deaf or hard of hearing]]=Lists!$E$2),1,0)</f>
        <v>0</v>
      </c>
      <c r="ED4" s="8">
        <f>IF(AND(Table1[[#This Row],[YearFlag]]=1,Table1[[#This Row],[Immigrant/refugee/ asylum seeker]]=Lists!$E$2),1,0)</f>
        <v>0</v>
      </c>
      <c r="EE4" s="8">
        <f>IF(AND(Table1[[#This Row],[YearFlag]]=1,Table1[[#This Row],[Are/were incarcerated]]=Lists!$E$2),1,0)</f>
        <v>0</v>
      </c>
      <c r="EF4" s="8">
        <f>IF(AND(Table1[[#This Row],[YearFlag]]=1,Table1[[#This Row],[Live in rural area]]=Lists!$E$2),1,0)</f>
        <v>0</v>
      </c>
      <c r="EG4" s="8">
        <f>IF(AND(Table1[[#This Row],[Qflag]]=1,Table1[[#This Row],[Presenting Victimization]]=Lists!$A$2),1,0)</f>
        <v>0</v>
      </c>
      <c r="EH4" s="8">
        <f>IF(AND(Table1[[#This Row],[Qflag]]=1,Table1[[#This Row],[Presenting Victimization]]=Lists!$A$3),1,0)</f>
        <v>0</v>
      </c>
      <c r="EI4" s="8">
        <f>IF(AND(Table1[[#This Row],[Qflag]]=1,Table1[[#This Row],[Presenting Victimization]]=Lists!$A$4),1,0)</f>
        <v>0</v>
      </c>
      <c r="EJ4" s="8">
        <f>IF(AND(Table1[[#This Row],[Qflag]]=1,Table1[[#This Row],[Presenting Victimization]]=Lists!$A$5),1,0)</f>
        <v>0</v>
      </c>
      <c r="EK4" s="8">
        <f>IF(AND(Table1[[#This Row],[Qflag]]=1,SUM(Table1[[#This Row],[AddSA]:[AddFM]])&gt;0),1,0)</f>
        <v>0</v>
      </c>
      <c r="EL4">
        <f>IF(AND(Table1[[#This Row],[Qflag]]=1,Table1[[#This Row],[Conflict of interest]]=Lists!$E$2),1,0)</f>
        <v>0</v>
      </c>
      <c r="EM4">
        <f>IF(AND(Table1[[#This Row],[Qflag]]=1,Table1[[#This Row],[Did not meet statutory requirements]]=Lists!$E$2),1,0)</f>
        <v>0</v>
      </c>
      <c r="EN4">
        <f>IF(AND(Table1[[#This Row],[Qflag]]=1,Table1[[#This Row],[Hours of operation]]=Lists!$E$2),1,0)</f>
        <v>0</v>
      </c>
      <c r="EO4">
        <f>IF(AND(Table1[[#This Row],[Qflag]]=1,Table1[[#This Row],[Insufficient or lack of culturally appropriate services]]=Lists!$E$2),1,0)</f>
        <v>0</v>
      </c>
      <c r="EP4">
        <f>IF(AND(Table1[[#This Row],[Qflag]]=1,Table1[[#This Row],[Insufficient or lack of agency capacity to provide language access (including sign language or assistive communication devices)]]=Lists!$E$2),1,0)</f>
        <v>0</v>
      </c>
      <c r="EQ4">
        <f>IF(AND(Table1[[#This Row],[Qflag]]=1,Table1[[#This Row],[Insufficient or lack of services for people with disabilities]]=Lists!$E$2),1,0)</f>
        <v>0</v>
      </c>
      <c r="ER4">
        <f>IF(AND(Table1[[#This Row],[Qflag]]=1,Table1[[#This Row],[Insufficient or lack of services for people who are D/deaf or hard of hearing]]=Lists!$E$2),1,0)</f>
        <v>0</v>
      </c>
      <c r="ES4">
        <f>IF(AND(Table1[[#This Row],[Qflag]]=1,Table1[[#This Row],[Lack of childcare]]=Lists!$E$2),1,0)</f>
        <v>0</v>
      </c>
      <c r="ET4">
        <f>IF(AND(Table1[[#This Row],[Qflag]]=1,Table1[[#This Row],[Program reached capacity]]=Lists!$E$2),1,0)</f>
        <v>0</v>
      </c>
      <c r="EU4">
        <f>IF(AND(Table1[[#This Row],[Qflag]]=1,Table1[[#This Row],[Program rules not acceptable to vicitm/survivor]]=Lists!$E$2),1,0)</f>
        <v>0</v>
      </c>
      <c r="EV4">
        <f>IF(AND(Table1[[#This Row],[Qflag]]=1,Table1[[#This Row],[Program unable to provide service due to limited resources/priority-setting]]=Lists!$E$2),1,0)</f>
        <v>0</v>
      </c>
      <c r="EW4">
        <f>IF(AND(Table1[[#This Row],[Qflag]]=1,Table1[[#This Row],[Services inappropriate or inadequate for vicitms/survivors with mental health issues]]=Lists!$E$2),1,0)</f>
        <v>0</v>
      </c>
      <c r="EX4">
        <f>IF(AND(Table1[[#This Row],[Qflag]]=1,Table1[[#This Row],[Services inappropriate or inadequate for vicitms/survivors with substance abuse issues]]=Lists!$E$2),1,0)</f>
        <v>0</v>
      </c>
      <c r="EY4">
        <f>IF(AND(Table1[[#This Row],[Qflag]]=1,Table1[[#This Row],[Services not appropriate for victim/survivor]]=Lists!$E$2),1,0)</f>
        <v>0</v>
      </c>
      <c r="EZ4">
        <f>IF(AND(Table1[[#This Row],[Qflag]]=1,Table1[[#This Row],[Services not available for victim/survivors accompanied by male adolescents]]=Lists!$E$2),1,0)</f>
        <v>0</v>
      </c>
      <c r="FA4">
        <f>IF(AND(Table1[[#This Row],[Qflag]]=1,Table1[[#This Row],[Transportation]]=Lists!$E$2),1,0)</f>
        <v>0</v>
      </c>
      <c r="FB4">
        <f>IF(AND(Table1[[#This Row],[Qflag]]=1,Table1[[#This Row],[Other]]=Lists!$E$2),1,0)</f>
        <v>0</v>
      </c>
      <c r="FC4">
        <f>SUM(Table1[[#This Row],[ConflictCountq]:[OtherCountq]])</f>
        <v>0</v>
      </c>
      <c r="FD4">
        <f>IF(AND(Table1[[#This Row],[CountPrimarySAq]]&gt;0,Table1[[#This Row],[PartialCountq]]=0),1,0)</f>
        <v>0</v>
      </c>
      <c r="FE4">
        <f>IF(AND(Table1[[#This Row],[CountPrimaryDVq]]&gt;0,Table1[[#This Row],[PartialCountq]]=0),1,0)</f>
        <v>0</v>
      </c>
      <c r="FF4">
        <f>IF(AND(Table1[[#This Row],[CountPrimarySTq]]&gt;0,Table1[[#This Row],[PartialCountq]]=0),1,0)</f>
        <v>0</v>
      </c>
      <c r="FG4">
        <f>IF(AND(Table1[[#This Row],[CountPrimaryFGMq]]&gt;0,Table1[[#This Row],[PartialCountq]]=0),1,0)</f>
        <v>0</v>
      </c>
      <c r="FH4">
        <f>IF(AND(Table1[[#This Row],[CountPrimarySAq]]&gt;0,Table1[[#This Row],[PartialCountq]]&gt;0),1,0)</f>
        <v>0</v>
      </c>
      <c r="FI4">
        <f>IF(AND(Table1[[#This Row],[CountPrimaryDVq]]&gt;0,Table1[[#This Row],[PartialCountq]]&gt;0),1,0)</f>
        <v>0</v>
      </c>
      <c r="FJ4">
        <f>IF(AND(Table1[[#This Row],[CountPrimarySTq]]&gt;0,Table1[[#This Row],[PartialCountq]]&gt;0),1,0)</f>
        <v>0</v>
      </c>
      <c r="FK4">
        <f>IF(AND(Table1[[#This Row],[CountPrimaryFGMq]]&gt;0,Table1[[#This Row],[PartialCountq]]&gt;0),1,0)</f>
        <v>0</v>
      </c>
      <c r="FL4">
        <f>IF(AND(Table1[[#This Row],[CountPrimarySAq]]=1,Table1[[#This Row],[QFirst]]=1),1,0)</f>
        <v>0</v>
      </c>
      <c r="FM4">
        <f>IF(AND(Table1[[#This Row],[CountPrimaryDVq]]=1,Table1[[#This Row],[QFirst]]=1),1,0)</f>
        <v>0</v>
      </c>
      <c r="FN4">
        <f>IF(AND(Table1[[#This Row],[CountPrimarySTq]]=1,Table1[[#This Row],[QFirst]]=1),1,0)</f>
        <v>0</v>
      </c>
      <c r="FO4">
        <f>IF(AND(Table1[[#This Row],[Qflag]]=1,Table1[[#This Row],[Sexual Assault]]=Lists!$E$2),1,0)</f>
        <v>0</v>
      </c>
      <c r="FP4">
        <f>IF(AND(Table1[[#This Row],[Qflag]]=1,Table1[[#This Row],[Domestic violence/ dating violence]]=Lists!$E$2),1,0)</f>
        <v>0</v>
      </c>
      <c r="FQ4">
        <f>IF(AND(Table1[[#This Row],[Qflag]]=1,Table1[[#This Row],[Stalking]]=Lists!$E$2),1,0)</f>
        <v>0</v>
      </c>
      <c r="FR4">
        <f>IF(AND(Table1[[#This Row],[Qflag]]=1,Table1[[#This Row],[Female Genital Mutilation/Cutting]]=Lists!$E$2),1,0)</f>
        <v>0</v>
      </c>
      <c r="FS4">
        <f>IF(AND(Table1[[#This Row],[Qflag]]=1,Table1[[#This Row],[Adult Survivor of Child Sexual Abuse]]=Lists!$E$2),1,0)</f>
        <v>0</v>
      </c>
      <c r="FT4">
        <f>IF(AND(Table1[[#This Row],[Qflag]]=1,Table1[[#This Row],[Sex Trafficking]]=Lists!$E$2),1,0)</f>
        <v>0</v>
      </c>
      <c r="FU4" s="8">
        <f>IF(AND(Table1[[#This Row],[Qflag]]=1,Table1[[#This Row],[Labor Trafficking]]=Lists!$E$2),1,0)</f>
        <v>0</v>
      </c>
      <c r="FV4" s="8">
        <f>IF(AND(Table1[[#This Row],[Qflag]]=1,Table1[[#This Row],[Economic Abuse]]=Lists!$E$2),1,0)</f>
        <v>0</v>
      </c>
      <c r="FW4" s="8">
        <f>IF(AND(Table1[[#This Row],[Qflag]]=1,Table1[[#This Row],[Technological Abuse]]=Lists!$E$2),1,0)</f>
        <v>0</v>
      </c>
      <c r="FX4" s="8">
        <f>IF(AND(Table1[[#This Row],[Qflag]]=1,Table1[[#This Row],[Forced Marriage]]=Lists!$E$2),1,0)</f>
        <v>0</v>
      </c>
      <c r="FY4" s="8">
        <f>IF(AND(Table1[[#This Row],[Qflag]]=1,Table1[[#This Row],[Female]]=Lists!$E$2),1,0)</f>
        <v>0</v>
      </c>
      <c r="FZ4" s="8">
        <f>IF(AND(Table1[[#This Row],[Qflag]]=1,Table1[[#This Row],[Male]]=Lists!$E$2),1,0)</f>
        <v>0</v>
      </c>
      <c r="GA4" s="8">
        <f>IF(AND(Table1[[#This Row],[Qflag]]=1,Table1[[#This Row],[Transgender]]=Lists!$E$2),1,0)</f>
        <v>0</v>
      </c>
      <c r="GB4" s="8">
        <f>IF(AND(Table1[[#This Row],[Qflag]]=1,Table1[[#This Row],[Non-Binary/Non-Conforming]]=Lists!$E$2),1,0)</f>
        <v>0</v>
      </c>
      <c r="GC4" s="8">
        <f>IF(AND(Table1[[#This Row],[Qflag]]=1,Table1[[#This Row],[Two-Spirit]]=Lists!$E$2),1,0)</f>
        <v>0</v>
      </c>
      <c r="GD4" s="8">
        <f>IF(AND(Table1[[#This Row],[Qflag]]=1,Table1[[#This Row],[Other Gender]]=Lists!$E$2),1,0)</f>
        <v>0</v>
      </c>
      <c r="GE4" s="8">
        <f>IF(AND(Table1[[#This Row],[Qflag]]=1,Table1[[#This Row],[Unknown Gender]]=Lists!$E$2),1,0)</f>
        <v>0</v>
      </c>
      <c r="GF4" s="8">
        <f>IF(AND(Table1[[#This Row],[Qflag]]=1,Table1[[#This Row],[Age]]=Lists!$C$7),1,0)</f>
        <v>0</v>
      </c>
      <c r="GG4" s="8">
        <f>IF(AND(Table1[[#This Row],[Qflag]]=1,Table1[[#This Row],[Age]]=Lists!$C$8),1,0)</f>
        <v>0</v>
      </c>
      <c r="GH4" s="8">
        <f>IF(AND(Table1[[#This Row],[Qflag]]=1,Table1[[#This Row],[Age]]=Lists!$C$9),1,0)</f>
        <v>0</v>
      </c>
      <c r="GI4" s="8">
        <f>IF(AND(Table1[[#This Row],[Qflag]]=1,Table1[[#This Row],[Age]]=Lists!$C$10),1,0)</f>
        <v>0</v>
      </c>
      <c r="GJ4" s="8">
        <f>IF(AND(Table1[[#This Row],[Qflag]]=1,Table1[[#This Row],[Age]]=Lists!$C$11),1,0)</f>
        <v>0</v>
      </c>
      <c r="GK4" s="8">
        <f>IF(AND(Table1[[#This Row],[Qflag]]=1,Table1[[#This Row],[American Indian/ Alaska Native]]=Lists!$E$2),1,0)</f>
        <v>0</v>
      </c>
      <c r="GL4" s="8">
        <f>IF(AND(Table1[[#This Row],[Qflag]]=1,Table1[[#This Row],[Asian]]=Lists!$E$2),1,0)</f>
        <v>0</v>
      </c>
      <c r="GM4" s="8">
        <f>IF(AND(Table1[[#This Row],[Qflag]]=1,Table1[[#This Row],[Black/African American]]=Lists!$E$2),1,0)</f>
        <v>0</v>
      </c>
      <c r="GN4" s="8">
        <f>IF(AND(Table1[[#This Row],[Qflag]]=1,Table1[[#This Row],[Hispanic/Latino/ Spanish Origin]]=Lists!$E$2),1,0)</f>
        <v>0</v>
      </c>
      <c r="GO4" s="8">
        <f>IF(AND(Table1[[#This Row],[Qflag]]=1,Table1[[#This Row],[Middle Eastern or North African]]=Lists!$E$2),1,0)</f>
        <v>0</v>
      </c>
      <c r="GP4" s="8">
        <f>IF(AND(Table1[[#This Row],[Qflag]]=1,Table1[[#This Row],[Native Hawaiian/ Other Pacific Islander]]=Lists!$E$2),1,0)</f>
        <v>0</v>
      </c>
      <c r="GQ4" s="8">
        <f>IF(AND(Table1[[#This Row],[Qflag]]=1,Table1[[#This Row],[White]]=Lists!$E$2),1,0)</f>
        <v>0</v>
      </c>
      <c r="GR4" s="8">
        <f>IF(AND(Table1[[#This Row],[Qflag]]=1,Table1[[#This Row],[Other race/ ethnicity/origin]]=Lists!$E$2),1,0)</f>
        <v>0</v>
      </c>
      <c r="GS4" s="8">
        <f>IF(AND(Table1[[#This Row],[Qflag]]=1,Table1[[#This Row],[Unknown race/ethnicity]]=Lists!$E$2),1,0)</f>
        <v>0</v>
      </c>
      <c r="GT4" s="8">
        <f>IF(AND(Table1[[#This Row],[Qflag]]=1,Table1[[#This Row],[LGBTQ]]=Lists!$E$2),1,0)</f>
        <v>0</v>
      </c>
      <c r="GU4" s="8">
        <f>IF(AND(Table1[[#This Row],[Qflag]]=1,Table1[[#This Row],[Has disability]]=Lists!$E$2),1,0)</f>
        <v>0</v>
      </c>
      <c r="GV4" s="8">
        <f>IF(AND(Table1[[#This Row],[Qflag]]=1,Table1[[#This Row],[Primary language not English]]=Lists!$E$2),1,0)</f>
        <v>0</v>
      </c>
      <c r="GW4" s="8">
        <f>IF(AND(Table1[[#This Row],[Qflag]]=1,Table1[[#This Row],[D/deaf or hard of hearing]]=Lists!$E$2),1,0)</f>
        <v>0</v>
      </c>
      <c r="GX4" s="8">
        <f>IF(AND(Table1[[#This Row],[Qflag]]=1,Table1[[#This Row],[Immigrant/refugee/ asylum seeker]]=Lists!$E$2),1,0)</f>
        <v>0</v>
      </c>
      <c r="GY4" s="8">
        <f>IF(AND(Table1[[#This Row],[Qflag]]=1,Table1[[#This Row],[Are/were incarcerated]]=Lists!$E$2),1,0)</f>
        <v>0</v>
      </c>
      <c r="GZ4" s="8">
        <f>IF(AND(Table1[[#This Row],[Qflag]]=1,Table1[[#This Row],[Live in rural area]]=Lists!$E$2),1,0)</f>
        <v>0</v>
      </c>
    </row>
  </sheetData>
  <mergeCells count="6">
    <mergeCell ref="AO1:BF1"/>
    <mergeCell ref="AE1:AN1"/>
    <mergeCell ref="X1:AD1"/>
    <mergeCell ref="O1:W1"/>
    <mergeCell ref="H1:N1"/>
    <mergeCell ref="D1:G1"/>
  </mergeCells>
  <phoneticPr fontId="20" type="noConversion"/>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Lists!$E$2:$E$3</xm:f>
          </x14:formula1>
          <xm:sqref>H3:BE4</xm:sqref>
        </x14:dataValidation>
        <x14:dataValidation type="list" allowBlank="1" showInputMessage="1" showErrorMessage="1" xr:uid="{00000000-0002-0000-0200-000003000000}">
          <x14:formula1>
            <xm:f>Lists!$C$7:$C$11</xm:f>
          </x14:formula1>
          <xm:sqref>F3:F4</xm:sqref>
        </x14:dataValidation>
        <x14:dataValidation type="list" allowBlank="1" showInputMessage="1" showErrorMessage="1" xr:uid="{00000000-0002-0000-0200-000004000000}">
          <x14:formula1>
            <xm:f>Lists!$A$2:$A$5</xm:f>
          </x14:formula1>
          <xm:sqref>G3:G4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3"/>
  <sheetViews>
    <sheetView workbookViewId="0">
      <selection activeCell="A3" sqref="A3"/>
    </sheetView>
  </sheetViews>
  <sheetFormatPr defaultRowHeight="15" x14ac:dyDescent="0.25"/>
  <cols>
    <col min="1" max="2" width="18.375" customWidth="1"/>
    <col min="3" max="3" width="29.125" customWidth="1"/>
    <col min="4" max="4" width="13.5" customWidth="1"/>
    <col min="5" max="5" width="22.625" customWidth="1"/>
    <col min="6" max="6" width="12.75" customWidth="1"/>
    <col min="7" max="7" width="27.75" customWidth="1"/>
    <col min="8" max="8" width="31.625" customWidth="1"/>
    <col min="9" max="9" width="34" customWidth="1"/>
    <col min="10" max="10" width="36.875" bestFit="1" customWidth="1"/>
    <col min="11" max="11" width="15.5" bestFit="1" customWidth="1"/>
    <col min="12" max="12" width="23.875" bestFit="1" customWidth="1"/>
    <col min="13" max="13" width="29.375" bestFit="1" customWidth="1"/>
    <col min="14" max="14" width="44.5" bestFit="1" customWidth="1"/>
    <col min="15" max="15" width="39.375" bestFit="1" customWidth="1"/>
    <col min="16" max="16" width="41.75" bestFit="1" customWidth="1"/>
    <col min="17" max="17" width="39.875" bestFit="1" customWidth="1"/>
    <col min="18" max="18" width="38.125" bestFit="1" customWidth="1"/>
    <col min="19" max="19" width="15" customWidth="1"/>
    <col min="20" max="20" width="6.125" bestFit="1" customWidth="1"/>
    <col min="21" max="21" width="13.25" bestFit="1" customWidth="1"/>
    <col min="22" max="60" width="9" hidden="1" customWidth="1"/>
    <col min="61" max="65" width="0" hidden="1" customWidth="1"/>
  </cols>
  <sheetData>
    <row r="1" spans="1:65" ht="15.75" x14ac:dyDescent="0.25">
      <c r="A1" s="59" t="s">
        <v>316</v>
      </c>
      <c r="B1" s="59"/>
      <c r="C1" s="59"/>
      <c r="D1" s="67" t="s">
        <v>129</v>
      </c>
      <c r="E1" s="67"/>
      <c r="F1" s="67"/>
      <c r="G1" s="67"/>
      <c r="H1" s="67"/>
      <c r="I1" s="67"/>
      <c r="J1" s="67"/>
      <c r="K1" s="67"/>
      <c r="L1" s="67"/>
      <c r="M1" s="67"/>
      <c r="N1" s="67"/>
      <c r="O1" s="67"/>
      <c r="P1" s="67"/>
      <c r="Q1" s="67"/>
      <c r="R1" s="67"/>
      <c r="S1" s="67"/>
      <c r="T1" s="67"/>
      <c r="U1" s="67"/>
    </row>
    <row r="2" spans="1:65" ht="30" customHeight="1" x14ac:dyDescent="0.25">
      <c r="A2" s="3" t="s">
        <v>0</v>
      </c>
      <c r="B2" s="3" t="s">
        <v>61</v>
      </c>
      <c r="C2" s="3" t="s">
        <v>1</v>
      </c>
      <c r="D2" s="7" t="s">
        <v>6</v>
      </c>
      <c r="E2" s="7" t="s">
        <v>5</v>
      </c>
      <c r="F2" s="7" t="s">
        <v>7</v>
      </c>
      <c r="G2" s="7" t="s">
        <v>8</v>
      </c>
      <c r="H2" s="7" t="s">
        <v>9</v>
      </c>
      <c r="I2" s="7" t="s">
        <v>10</v>
      </c>
      <c r="J2" s="7" t="s">
        <v>384</v>
      </c>
      <c r="K2" s="7" t="s">
        <v>11</v>
      </c>
      <c r="L2" s="7" t="s">
        <v>12</v>
      </c>
      <c r="M2" s="7" t="s">
        <v>13</v>
      </c>
      <c r="N2" s="7" t="s">
        <v>14</v>
      </c>
      <c r="O2" s="7" t="s">
        <v>15</v>
      </c>
      <c r="P2" s="7" t="s">
        <v>16</v>
      </c>
      <c r="Q2" s="7" t="s">
        <v>17</v>
      </c>
      <c r="R2" s="7" t="s">
        <v>18</v>
      </c>
      <c r="S2" s="7" t="s">
        <v>19</v>
      </c>
      <c r="T2" s="7" t="s">
        <v>20</v>
      </c>
      <c r="U2" s="7" t="s">
        <v>34</v>
      </c>
      <c r="V2" s="26" t="s">
        <v>109</v>
      </c>
      <c r="W2" s="26" t="s">
        <v>269</v>
      </c>
      <c r="X2" s="26" t="s">
        <v>113</v>
      </c>
      <c r="Y2" s="26" t="s">
        <v>114</v>
      </c>
      <c r="Z2" s="26" t="s">
        <v>115</v>
      </c>
      <c r="AA2" s="26" t="s">
        <v>116</v>
      </c>
      <c r="AB2" s="26" t="s">
        <v>117</v>
      </c>
      <c r="AC2" s="26" t="s">
        <v>118</v>
      </c>
      <c r="AD2" s="26" t="s">
        <v>385</v>
      </c>
      <c r="AE2" s="26" t="s">
        <v>119</v>
      </c>
      <c r="AF2" s="26" t="s">
        <v>120</v>
      </c>
      <c r="AG2" s="26" t="s">
        <v>121</v>
      </c>
      <c r="AH2" s="26" t="s">
        <v>122</v>
      </c>
      <c r="AI2" s="26" t="s">
        <v>123</v>
      </c>
      <c r="AJ2" s="26" t="s">
        <v>124</v>
      </c>
      <c r="AK2" s="26" t="s">
        <v>125</v>
      </c>
      <c r="AL2" s="26" t="s">
        <v>126</v>
      </c>
      <c r="AM2" s="26" t="s">
        <v>127</v>
      </c>
      <c r="AN2" s="26" t="s">
        <v>128</v>
      </c>
      <c r="AO2" s="26" t="s">
        <v>179</v>
      </c>
      <c r="AP2" s="26" t="s">
        <v>180</v>
      </c>
      <c r="AQ2" s="26" t="s">
        <v>181</v>
      </c>
      <c r="AR2" s="26" t="s">
        <v>449</v>
      </c>
      <c r="AS2" s="26" t="s">
        <v>219</v>
      </c>
      <c r="AT2" s="26" t="s">
        <v>220</v>
      </c>
      <c r="AU2" s="26" t="s">
        <v>221</v>
      </c>
      <c r="AV2" s="26" t="s">
        <v>222</v>
      </c>
      <c r="AW2" s="26" t="s">
        <v>223</v>
      </c>
      <c r="AX2" s="26" t="s">
        <v>224</v>
      </c>
      <c r="AY2" s="26" t="s">
        <v>386</v>
      </c>
      <c r="AZ2" s="26" t="s">
        <v>225</v>
      </c>
      <c r="BA2" s="26" t="s">
        <v>226</v>
      </c>
      <c r="BB2" s="26" t="s">
        <v>227</v>
      </c>
      <c r="BC2" s="26" t="s">
        <v>228</v>
      </c>
      <c r="BD2" s="26" t="s">
        <v>229</v>
      </c>
      <c r="BE2" s="26" t="s">
        <v>230</v>
      </c>
      <c r="BF2" s="26" t="s">
        <v>231</v>
      </c>
      <c r="BG2" s="26" t="s">
        <v>232</v>
      </c>
      <c r="BH2" s="26" t="s">
        <v>233</v>
      </c>
      <c r="BI2" s="26" t="s">
        <v>234</v>
      </c>
      <c r="BJ2" s="26" t="s">
        <v>309</v>
      </c>
      <c r="BK2" s="26" t="s">
        <v>310</v>
      </c>
      <c r="BL2" s="26" t="s">
        <v>311</v>
      </c>
      <c r="BM2" s="26" t="s">
        <v>342</v>
      </c>
    </row>
    <row r="3" spans="1:65" x14ac:dyDescent="0.25">
      <c r="B3" s="9"/>
      <c r="C3" s="9"/>
      <c r="V3">
        <f>YEAR(Table8[[#This Row],[Date]])</f>
        <v>1900</v>
      </c>
      <c r="W3">
        <f>IF(AND(Table8[[#This Row],[Date]]&gt;='Quarterly SAPR Data'!$C$3,Table8[[#This Row],[Date]]&lt;='Quarterly SAPR Data'!$E$3),1,0)</f>
        <v>0</v>
      </c>
      <c r="X3">
        <f>IF(AND(Table8[[#This Row],[Year]]='Annual SAPR Data'!$C$3,Table8[[#This Row],[Conflict of interest]]=Lists!$E$2),1,0)</f>
        <v>0</v>
      </c>
      <c r="Y3">
        <f>IF(AND(Table8[[#This Row],[Year]]='Annual SAPR Data'!$C$3,Table8[[#This Row],[Did not meet statutory requirements]]=Lists!$E$2),1,0)</f>
        <v>0</v>
      </c>
      <c r="Z3">
        <f>IF(AND(Table8[[#This Row],[Year]]='Annual SAPR Data'!$C$3,Table8[[#This Row],[Hours of operation]]=Lists!$E$2),1,0)</f>
        <v>0</v>
      </c>
      <c r="AA3">
        <f>IF(AND(Table8[[#This Row],[Year]]='Annual SAPR Data'!$C$3,Table8[[#This Row],[Insufficient or lack of culturally appropriate services]]=Lists!$E$2),1,0)</f>
        <v>0</v>
      </c>
      <c r="AB3">
        <f>IF(AND(Table8[[#This Row],[Year]]='Annual SAPR Data'!$C$3,Table8[[#This Row],[Insufficient or lack of language capacity (including sign language)]]=Lists!$E$2),1,0)</f>
        <v>0</v>
      </c>
      <c r="AC3">
        <f>IF(AND(Table8[[#This Row],[Year]]='Annual SAPR Data'!$C$3,Table8[[#This Row],[Insufficient or lack of services for people with disabilities]]=Lists!$E$2),1,0)</f>
        <v>0</v>
      </c>
      <c r="AD3">
        <f>IF(AND(Table8[[#This Row],[Year]]='Annual SAPR Data'!$C$3,Table8[[#This Row],[Insufficient or lack of services for people who are D/deaf or hard of hearing]]=Lists!$E$2),1,0)</f>
        <v>0</v>
      </c>
      <c r="AE3">
        <f>IF(AND(Table8[[#This Row],[Year]]='Annual SAPR Data'!$C$3,Table8[[#This Row],[Lack of childcare]]=Lists!$E$2),1,0)</f>
        <v>0</v>
      </c>
      <c r="AF3">
        <f>IF(AND(Table8[[#This Row],[Year]]='Annual SAPR Data'!$C$3,Table8[[#This Row],[Program reached capacity]]=Lists!$E$2),1,0)</f>
        <v>0</v>
      </c>
      <c r="AG3">
        <f>IF(AND(Table8[[#This Row],[Year]]='Annual SAPR Data'!$C$3,Table8[[#This Row],[Program rules not acceptable to vicitm/survivor]]=Lists!$E$2),1,0)</f>
        <v>0</v>
      </c>
      <c r="AH3">
        <f>IF(AND(Table8[[#This Row],[Year]]='Annual SAPR Data'!$C$3,Table8[[#This Row],[Program unable to provide service due to limited resources/priority-setting]]=Lists!$E$2),1,0)</f>
        <v>0</v>
      </c>
      <c r="AI3">
        <f>IF(AND(Table8[[#This Row],[Year]]='Annual SAPR Data'!$C$3,Table8[[#This Row],[Services inappropriate or inadequate for vicitms/survivors with mental health issues]]=Lists!$E$2),1,0)</f>
        <v>0</v>
      </c>
      <c r="AJ3">
        <f>IF(AND(Table8[[#This Row],[Year]]='Annual SAPR Data'!$C$3,Table8[[#This Row],[Services inappropriate or inadequate for vicitms/survivors with substance abuse issues]]=Lists!$E$2),1,0)</f>
        <v>0</v>
      </c>
      <c r="AK3">
        <f>IF(AND(Table8[[#This Row],[Year]]='Annual SAPR Data'!$C$3,Table8[[#This Row],[Services not appropriate for victim/survivor]]=Lists!$E$2),1,0)</f>
        <v>0</v>
      </c>
      <c r="AL3">
        <f>IF(AND(Table8[[#This Row],[Year]]='Annual SAPR Data'!$C$3,Table8[[#This Row],[Services not available for victim/survivors accompanied by male adolescents]]=Lists!$E$2),1,0)</f>
        <v>0</v>
      </c>
      <c r="AM3">
        <f>IF(AND(Table8[[#This Row],[Year]]='Annual SAPR Data'!$C$3,Table8[[#This Row],[Transportation]]=Lists!$E$2),1,0)</f>
        <v>0</v>
      </c>
      <c r="AN3">
        <f>IF(AND(Table8[[#This Row],[Year]]='Annual SAPR Data'!$C$3,Table8[[#This Row],[Other]]=Lists!$E$2),1,0)</f>
        <v>0</v>
      </c>
      <c r="AO3" s="8">
        <f>IF(AND(Table8[[#This Row],[Year]]='Annual SAPR Data'!$C$3,Table8[[#This Row],[Presenting Victimization]]=Lists!$A$2),1,0)</f>
        <v>0</v>
      </c>
      <c r="AP3" s="8">
        <f>IF(AND(Table8[[#This Row],[Year]]='Annual SAPR Data'!$C$3,Table8[[#This Row],[Presenting Victimization]]=Lists!$A$3),1,0)</f>
        <v>0</v>
      </c>
      <c r="AQ3" s="8">
        <f>IF(AND(Table8[[#This Row],[Year]]='Annual SAPR Data'!$C$3,Table8[[#This Row],[Presenting Victimization]]=Lists!$A$4),1,0)</f>
        <v>0</v>
      </c>
      <c r="AR3" s="8">
        <f>IF(AND(Table8[[#This Row],[Year]]='Annual SAPR Data'!$C$3,Table8[[#This Row],[Presenting Victimization]]=Lists!$A$5),1,0)</f>
        <v>0</v>
      </c>
      <c r="AS3">
        <f>IF(AND(Table8[[#This Row],[Quarter]]=1,Table8[[#This Row],[Conflict of interest]]=Lists!$E$2),1,0)</f>
        <v>0</v>
      </c>
      <c r="AT3">
        <f>IF(AND(Table8[[#This Row],[Quarter]]=1,Table8[[#This Row],[Did not meet statutory requirements]]=Lists!$E$2),1,0)</f>
        <v>0</v>
      </c>
      <c r="AU3">
        <f>IF(AND(Table8[[#This Row],[Quarter]]=1,Table8[[#This Row],[Hours of operation]]=Lists!$E$2),1,0)</f>
        <v>0</v>
      </c>
      <c r="AV3">
        <f>IF(AND(Table8[[#This Row],[Quarter]]=1,Table8[[#This Row],[Insufficient or lack of culturally appropriate services]]=Lists!$E$2),1,0)</f>
        <v>0</v>
      </c>
      <c r="AW3">
        <f>IF(AND(Table8[[#This Row],[Quarter]]=1,Table8[[#This Row],[Insufficient or lack of language capacity (including sign language)]]=Lists!$E$2),1,0)</f>
        <v>0</v>
      </c>
      <c r="AX3">
        <f>IF(AND(Table8[[#This Row],[Quarter]]=1,Table8[[#This Row],[Insufficient or lack of services for people with disabilities]]=Lists!$E$2),1,0)</f>
        <v>0</v>
      </c>
      <c r="AY3">
        <f>IF(AND(Table8[[#This Row],[Quarter]]=1,Table8[[#This Row],[Insufficient or lack of services for people who are D/deaf or hard of hearing]]=Lists!$E$2),1,0)</f>
        <v>0</v>
      </c>
      <c r="AZ3">
        <f>IF(AND(Table8[[#This Row],[Quarter]]=1,Table8[[#This Row],[Lack of childcare]]=Lists!$E$2),1,0)</f>
        <v>0</v>
      </c>
      <c r="BA3">
        <f>IF(AND(Table8[[#This Row],[Quarter]]=1,Table8[[#This Row],[Program reached capacity]]=Lists!$E$2),1,0)</f>
        <v>0</v>
      </c>
      <c r="BB3">
        <f>IF(AND(Table8[[#This Row],[Quarter]]=1,Table8[[#This Row],[Program rules not acceptable to vicitm/survivor]]=Lists!$E$2),1,0)</f>
        <v>0</v>
      </c>
      <c r="BC3">
        <f>IF(AND(Table8[[#This Row],[Quarter]]=1,Table8[[#This Row],[Program unable to provide service due to limited resources/priority-setting]]=Lists!$E$2),1,0)</f>
        <v>0</v>
      </c>
      <c r="BD3">
        <f>IF(AND(Table8[[#This Row],[Quarter]]=1,Table8[[#This Row],[Services inappropriate or inadequate for vicitms/survivors with mental health issues]]=Lists!$E$2),1,0)</f>
        <v>0</v>
      </c>
      <c r="BE3">
        <f>IF(AND(Table8[[#This Row],[Quarter]]=1,Table8[[#This Row],[Services inappropriate or inadequate for vicitms/survivors with substance abuse issues]]=Lists!$E$2),1,0)</f>
        <v>0</v>
      </c>
      <c r="BF3">
        <f>IF(AND(Table8[[#This Row],[Quarter]]=1,Table8[[#This Row],[Services not appropriate for victim/survivor]]=Lists!$E$2),1,0)</f>
        <v>0</v>
      </c>
      <c r="BG3">
        <f>IF(AND(Table8[[#This Row],[Quarter]]=1,Table8[[#This Row],[Services not available for victim/survivors accompanied by male adolescents]]=Lists!$E$2),1,0)</f>
        <v>0</v>
      </c>
      <c r="BH3">
        <f>IF(AND(Table8[[#This Row],[Quarter]]=1,Table8[[#This Row],[Transportation]]=Lists!$E$2),1,0)</f>
        <v>0</v>
      </c>
      <c r="BI3">
        <f>IF(AND(Table8[[#This Row],[Quarter]]=1,Table8[[#This Row],[Other]]=Lists!$E$2),1,0)</f>
        <v>0</v>
      </c>
      <c r="BJ3" s="8">
        <f>IF(AND(Table8[[#This Row],[Quarter]]=1,Table8[[#This Row],[Presenting Victimization]]=Lists!$A$2),1,0)</f>
        <v>0</v>
      </c>
      <c r="BK3" s="8">
        <f>IF(AND(Table8[[#This Row],[Quarter]]=1,Table8[[#This Row],[Presenting Victimization]]=Lists!$A$3),1,0)</f>
        <v>0</v>
      </c>
      <c r="BL3" s="8">
        <f>IF(AND(Table8[[#This Row],[Quarter]]=1,Table8[[#This Row],[Presenting Victimization]]=Lists!$A$4),1,0)</f>
        <v>0</v>
      </c>
      <c r="BM3" s="8">
        <f>IF(AND(Table8[[#This Row],[Quarter]]=1,Table8[[#This Row],[Presenting Victimization]]=Lists!$A$5),1,0)</f>
        <v>0</v>
      </c>
    </row>
  </sheetData>
  <mergeCells count="2">
    <mergeCell ref="A1:C1"/>
    <mergeCell ref="D1:U1"/>
  </mergeCells>
  <dataValidations count="1">
    <dataValidation type="date" operator="greaterThanOrEqual" allowBlank="1" showInputMessage="1" showErrorMessage="1" sqref="B1:B1048576" xr:uid="{00000000-0002-0000-0300-000000000000}">
      <formula1>42370</formula1>
    </dataValidation>
  </dataValidations>
  <pageMargins left="0.7" right="0.7" top="0.75" bottom="0.75" header="0.3" footer="0.3"/>
  <ignoredErrors>
    <ignoredError sqref="B2" listDataValidation="1"/>
  </ignoredErrors>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Lists!$A$2:$A$5</xm:f>
          </x14:formula1>
          <xm:sqref>C3</xm:sqref>
        </x14:dataValidation>
        <x14:dataValidation type="list" allowBlank="1" showInputMessage="1" showErrorMessage="1" xr:uid="{00000000-0002-0000-0300-000001000000}">
          <x14:formula1>
            <xm:f>Lists!$E$2:$E$3</xm:f>
          </x14:formula1>
          <xm:sqref>D3:T3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3"/>
  <sheetViews>
    <sheetView topLeftCell="B1" workbookViewId="0">
      <selection activeCell="B3" sqref="B3"/>
    </sheetView>
  </sheetViews>
  <sheetFormatPr defaultRowHeight="15" x14ac:dyDescent="0.25"/>
  <cols>
    <col min="1" max="1" width="9.625" hidden="1" customWidth="1"/>
    <col min="2" max="2" width="24.875" bestFit="1" customWidth="1"/>
    <col min="3" max="3" width="16.125" bestFit="1" customWidth="1"/>
    <col min="4" max="4" width="37.375" bestFit="1" customWidth="1"/>
    <col min="5" max="5" width="43.5" bestFit="1" customWidth="1"/>
    <col min="6" max="6" width="9" hidden="1" customWidth="1"/>
    <col min="7" max="7" width="12.5" hidden="1" customWidth="1"/>
    <col min="8" max="28" width="9" hidden="1" customWidth="1"/>
    <col min="29" max="30" width="0" hidden="1" customWidth="1"/>
  </cols>
  <sheetData>
    <row r="1" spans="1:30" x14ac:dyDescent="0.25">
      <c r="B1" s="1" t="s">
        <v>316</v>
      </c>
    </row>
    <row r="2" spans="1:30" x14ac:dyDescent="0.25">
      <c r="A2" s="11" t="s">
        <v>72</v>
      </c>
      <c r="B2" s="11" t="s">
        <v>0</v>
      </c>
      <c r="C2" s="11" t="s">
        <v>48</v>
      </c>
      <c r="D2" s="11" t="s">
        <v>49</v>
      </c>
      <c r="E2" s="11" t="s">
        <v>34</v>
      </c>
      <c r="F2" s="38" t="s">
        <v>109</v>
      </c>
      <c r="G2" s="38" t="s">
        <v>333</v>
      </c>
      <c r="H2" s="38" t="s">
        <v>269</v>
      </c>
      <c r="I2" s="38" t="s">
        <v>146</v>
      </c>
      <c r="J2" s="38" t="s">
        <v>147</v>
      </c>
      <c r="K2" s="38" t="s">
        <v>148</v>
      </c>
      <c r="L2" s="38" t="s">
        <v>155</v>
      </c>
      <c r="M2" s="38" t="s">
        <v>434</v>
      </c>
      <c r="N2" s="38" t="s">
        <v>149</v>
      </c>
      <c r="O2" s="38" t="s">
        <v>150</v>
      </c>
      <c r="P2" s="38" t="s">
        <v>151</v>
      </c>
      <c r="Q2" s="38" t="s">
        <v>152</v>
      </c>
      <c r="R2" s="38" t="s">
        <v>153</v>
      </c>
      <c r="S2" s="38" t="s">
        <v>154</v>
      </c>
      <c r="T2" s="11" t="s">
        <v>288</v>
      </c>
      <c r="U2" s="11" t="s">
        <v>289</v>
      </c>
      <c r="V2" s="11" t="s">
        <v>290</v>
      </c>
      <c r="W2" s="11" t="s">
        <v>291</v>
      </c>
      <c r="X2" s="11" t="s">
        <v>435</v>
      </c>
      <c r="Y2" s="11" t="s">
        <v>292</v>
      </c>
      <c r="Z2" s="11" t="s">
        <v>293</v>
      </c>
      <c r="AA2" s="11" t="s">
        <v>294</v>
      </c>
      <c r="AB2" s="11" t="s">
        <v>295</v>
      </c>
      <c r="AC2" s="11" t="s">
        <v>296</v>
      </c>
      <c r="AD2" s="11" t="s">
        <v>297</v>
      </c>
    </row>
    <row r="3" spans="1:30" x14ac:dyDescent="0.25">
      <c r="A3" t="str">
        <f>IFERROR((INDEX(Table1[Client '#],MATCH(B3,Table1[Name],0))),"")</f>
        <v/>
      </c>
      <c r="C3" s="9"/>
      <c r="F3">
        <f>YEAR(Table3[[#This Row],[Date of Service]])</f>
        <v>1900</v>
      </c>
      <c r="G3">
        <f>IF(Table3[[#This Row],[Year]]='Annual SAPR Data'!$C$3,1,0)</f>
        <v>0</v>
      </c>
      <c r="H3">
        <f>IF(AND(Table3[[#This Row],[Date of Service]]&gt;='Quarterly SAPR Data'!$C$3,Table3[[#This Row],[Date of Service]]&lt;='Quarterly SAPR Data'!$E$3),1,0)</f>
        <v>0</v>
      </c>
      <c r="I3">
        <f>IF(AND(Table3[[#This Row],[Year]]='Annual SAPR Data'!$C$3,Table3[[#This Row],[Service Received]]=Lists!$E$6),1,0)</f>
        <v>0</v>
      </c>
      <c r="J3">
        <f>IF(AND(Table3[[#This Row],[Year]]='Annual SAPR Data'!$C$3,Table3[[#This Row],[Service Received]]=Lists!$E$7),1,0)</f>
        <v>0</v>
      </c>
      <c r="K3">
        <f>IF(AND(Table3[[#This Row],[Year]]='Annual SAPR Data'!$C$3,Table3[[#This Row],[Service Received]]=Lists!$E$8),1,0)</f>
        <v>0</v>
      </c>
      <c r="L3">
        <f>IF(AND(Table3[[#This Row],[Year]]='Annual SAPR Data'!$C$3,Table3[[#This Row],[Service Received]]=Lists!$E$9),1,0)</f>
        <v>0</v>
      </c>
      <c r="M3">
        <f>IF(AND(Table3[[#This Row],[Year]]='Annual SAPR Data'!$C$3,Table3[[#This Row],[Service Received]]=Lists!$E$10),1,0)</f>
        <v>0</v>
      </c>
      <c r="N3">
        <f>IF(AND(Table3[[#This Row],[Year]]='Annual SAPR Data'!$C$3,Table3[[#This Row],[Service Received]]=Lists!$E$11),1,0)</f>
        <v>0</v>
      </c>
      <c r="O3">
        <f>IF(AND(Table3[[#This Row],[Year]]='Annual SAPR Data'!$C$3,Table3[[#This Row],[Service Received]]=Lists!$E$12),1,0)</f>
        <v>0</v>
      </c>
      <c r="P3">
        <f>IF(AND(Table3[[#This Row],[Year]]='Annual SAPR Data'!$C$3,Table3[[#This Row],[Service Received]]=Lists!$E$13),1,0)</f>
        <v>0</v>
      </c>
      <c r="Q3">
        <f>IF(AND(Table3[[#This Row],[Year]]='Annual SAPR Data'!$C$3,Table3[[#This Row],[Service Received]]=Lists!$E$14),1,0)</f>
        <v>0</v>
      </c>
      <c r="R3">
        <f>IF(AND(Table3[[#This Row],[Year]]='Annual SAPR Data'!$C$3,Table3[[#This Row],[Service Received]]=Lists!$E$15),1,0)</f>
        <v>0</v>
      </c>
      <c r="S3">
        <f>IF(AND(Table3[[#This Row],[Year]]='Annual SAPR Data'!$C$3,Table3[[#This Row],[Service Received]]=Lists!$E$16),1,0)</f>
        <v>0</v>
      </c>
      <c r="T3">
        <f>IF(AND(Table3[[#This Row],[Quarter]]=1,Table3[[#This Row],[Service Received]]=Lists!$E$6),1,0)</f>
        <v>0</v>
      </c>
      <c r="U3">
        <f>IF(AND(Table3[[#This Row],[Quarter]]=1,Table3[[#This Row],[Service Received]]=Lists!$E$7),1,0)</f>
        <v>0</v>
      </c>
      <c r="V3">
        <f>IF(AND(Table3[[#This Row],[Quarter]]=1,Table3[[#This Row],[Service Received]]=Lists!$E$8),1,0)</f>
        <v>0</v>
      </c>
      <c r="W3">
        <f>IF(AND(Table3[[#This Row],[Quarter]]=1,Table3[[#This Row],[Service Received]]=Lists!$E$9),1,0)</f>
        <v>0</v>
      </c>
      <c r="X3">
        <f>IF(AND(Table3[[#This Row],[Quarter]]=1,Table3[[#This Row],[Service Received]]=Lists!$E$10),1,0)</f>
        <v>0</v>
      </c>
      <c r="Y3">
        <f>IF(AND(Table3[[#This Row],[Quarter]]=1,Table3[[#This Row],[Service Received]]=Lists!$E$11),1,0)</f>
        <v>0</v>
      </c>
      <c r="Z3">
        <f>IF(AND(Table3[[#This Row],[Quarter]]=1,Table3[[#This Row],[Service Received]]=Lists!$E$12),1,0)</f>
        <v>0</v>
      </c>
      <c r="AA3">
        <f>IF(AND(Table3[[#This Row],[Quarter]]=1,Table3[[#This Row],[Service Received]]=Lists!$E$13),1,0)</f>
        <v>0</v>
      </c>
      <c r="AB3">
        <f>IF(AND(Table3[[#This Row],[Quarter]]=1,Table3[[#This Row],[Service Received]]=Lists!$E$14),1,0)</f>
        <v>0</v>
      </c>
      <c r="AC3">
        <f>IF(AND(Table3[[#This Row],[Quarter]]=1,Table3[[#This Row],[Service Received]]=Lists!$E$15),1,0)</f>
        <v>0</v>
      </c>
      <c r="AD3">
        <f>IF(AND(Table3[[#This Row],[Quarter]]=1,Table3[[#This Row],[Service Received]]=Lists!$E$16),1,0)</f>
        <v>0</v>
      </c>
    </row>
  </sheetData>
  <dataValidations count="2">
    <dataValidation type="list" allowBlank="1" showInputMessage="1" showErrorMessage="1" sqref="B1:B1048576" xr:uid="{00000000-0002-0000-0400-000000000000}">
      <formula1>ddName</formula1>
    </dataValidation>
    <dataValidation type="date" operator="greaterThanOrEqual" allowBlank="1" showInputMessage="1" showErrorMessage="1" sqref="C1:C1048576" xr:uid="{00000000-0002-0000-0400-000001000000}">
      <formula1>42370</formula1>
    </dataValidation>
  </dataValidations>
  <pageMargins left="0.7" right="0.7" top="0.75" bottom="0.75" header="0.3" footer="0.3"/>
  <pageSetup orientation="portrait" r:id="rId1"/>
  <ignoredErrors>
    <ignoredError sqref="B2:C2" listDataValidatio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Lists!$E$6:$E$16</xm:f>
          </x14:formula1>
          <xm:sqref>D3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K6"/>
  <sheetViews>
    <sheetView topLeftCell="B1" workbookViewId="0">
      <selection activeCell="B6" sqref="B6"/>
    </sheetView>
  </sheetViews>
  <sheetFormatPr defaultRowHeight="15" x14ac:dyDescent="0.25"/>
  <cols>
    <col min="1" max="1" width="9.625" hidden="1" customWidth="1"/>
    <col min="2" max="2" width="20.25" customWidth="1"/>
    <col min="3" max="3" width="27.125" bestFit="1" customWidth="1"/>
    <col min="4" max="4" width="40.25" customWidth="1"/>
    <col min="5" max="5" width="18.25" customWidth="1"/>
    <col min="6" max="43" width="9" hidden="1" customWidth="1"/>
    <col min="44" max="63" width="0" hidden="1" customWidth="1"/>
  </cols>
  <sheetData>
    <row r="1" spans="1:63" x14ac:dyDescent="0.25">
      <c r="B1" s="1" t="s">
        <v>316</v>
      </c>
    </row>
    <row r="2" spans="1:63" x14ac:dyDescent="0.25">
      <c r="B2" s="56" t="s">
        <v>331</v>
      </c>
    </row>
    <row r="3" spans="1:63" ht="60" customHeight="1" x14ac:dyDescent="0.25">
      <c r="B3" s="63" t="s">
        <v>332</v>
      </c>
      <c r="C3" s="63"/>
      <c r="D3" s="63"/>
    </row>
    <row r="4" spans="1:63" ht="45" customHeight="1" x14ac:dyDescent="0.25">
      <c r="B4" s="63" t="s">
        <v>330</v>
      </c>
      <c r="C4" s="63"/>
      <c r="D4" s="63"/>
    </row>
    <row r="5" spans="1:63" ht="30" x14ac:dyDescent="0.25">
      <c r="A5" s="11" t="s">
        <v>72</v>
      </c>
      <c r="B5" s="11" t="s">
        <v>0</v>
      </c>
      <c r="C5" s="11" t="s">
        <v>40</v>
      </c>
      <c r="D5" s="11" t="s">
        <v>47</v>
      </c>
      <c r="E5" s="3" t="s">
        <v>34</v>
      </c>
      <c r="F5" s="38" t="s">
        <v>109</v>
      </c>
      <c r="G5" s="38" t="s">
        <v>269</v>
      </c>
      <c r="H5" s="38" t="s">
        <v>156</v>
      </c>
      <c r="I5" s="38" t="s">
        <v>157</v>
      </c>
      <c r="J5" s="38" t="s">
        <v>158</v>
      </c>
      <c r="K5" s="38" t="s">
        <v>159</v>
      </c>
      <c r="L5" s="38" t="s">
        <v>160</v>
      </c>
      <c r="M5" s="38" t="s">
        <v>161</v>
      </c>
      <c r="N5" s="38" t="s">
        <v>412</v>
      </c>
      <c r="O5" s="38" t="s">
        <v>162</v>
      </c>
      <c r="P5" s="38" t="s">
        <v>163</v>
      </c>
      <c r="Q5" s="38" t="s">
        <v>164</v>
      </c>
      <c r="R5" s="38" t="s">
        <v>165</v>
      </c>
      <c r="S5" s="38" t="s">
        <v>166</v>
      </c>
      <c r="T5" s="38" t="s">
        <v>167</v>
      </c>
      <c r="U5" s="38" t="s">
        <v>413</v>
      </c>
      <c r="V5" s="38" t="s">
        <v>168</v>
      </c>
      <c r="W5" s="38" t="s">
        <v>169</v>
      </c>
      <c r="X5" s="38" t="s">
        <v>170</v>
      </c>
      <c r="Y5" s="38" t="s">
        <v>171</v>
      </c>
      <c r="Z5" s="38" t="s">
        <v>172</v>
      </c>
      <c r="AA5" s="38" t="s">
        <v>173</v>
      </c>
      <c r="AB5" s="38" t="s">
        <v>414</v>
      </c>
      <c r="AC5" s="38" t="s">
        <v>424</v>
      </c>
      <c r="AD5" s="38" t="s">
        <v>418</v>
      </c>
      <c r="AE5" s="38" t="s">
        <v>419</v>
      </c>
      <c r="AF5" s="38" t="s">
        <v>420</v>
      </c>
      <c r="AG5" s="38" t="s">
        <v>421</v>
      </c>
      <c r="AH5" s="38" t="s">
        <v>422</v>
      </c>
      <c r="AI5" s="38" t="s">
        <v>423</v>
      </c>
      <c r="AJ5" s="11" t="s">
        <v>270</v>
      </c>
      <c r="AK5" s="11" t="s">
        <v>271</v>
      </c>
      <c r="AL5" s="11" t="s">
        <v>272</v>
      </c>
      <c r="AM5" s="11" t="s">
        <v>273</v>
      </c>
      <c r="AN5" s="11" t="s">
        <v>274</v>
      </c>
      <c r="AO5" s="11" t="s">
        <v>275</v>
      </c>
      <c r="AP5" s="11" t="s">
        <v>415</v>
      </c>
      <c r="AQ5" s="11" t="s">
        <v>276</v>
      </c>
      <c r="AR5" s="11" t="s">
        <v>277</v>
      </c>
      <c r="AS5" s="11" t="s">
        <v>278</v>
      </c>
      <c r="AT5" s="11" t="s">
        <v>279</v>
      </c>
      <c r="AU5" s="11" t="s">
        <v>280</v>
      </c>
      <c r="AV5" s="11" t="s">
        <v>281</v>
      </c>
      <c r="AW5" s="11" t="s">
        <v>416</v>
      </c>
      <c r="AX5" s="11" t="s">
        <v>282</v>
      </c>
      <c r="AY5" s="11" t="s">
        <v>283</v>
      </c>
      <c r="AZ5" s="11" t="s">
        <v>284</v>
      </c>
      <c r="BA5" s="11" t="s">
        <v>285</v>
      </c>
      <c r="BB5" s="11" t="s">
        <v>286</v>
      </c>
      <c r="BC5" s="11" t="s">
        <v>287</v>
      </c>
      <c r="BD5" s="11" t="s">
        <v>417</v>
      </c>
      <c r="BE5" s="11" t="s">
        <v>425</v>
      </c>
      <c r="BF5" s="11" t="s">
        <v>426</v>
      </c>
      <c r="BG5" s="11" t="s">
        <v>427</v>
      </c>
      <c r="BH5" s="11" t="s">
        <v>428</v>
      </c>
      <c r="BI5" s="11" t="s">
        <v>429</v>
      </c>
      <c r="BJ5" s="11" t="s">
        <v>430</v>
      </c>
      <c r="BK5" s="11" t="s">
        <v>431</v>
      </c>
    </row>
    <row r="6" spans="1:63" x14ac:dyDescent="0.25">
      <c r="A6" t="str">
        <f>IFERROR((INDEX(Table1[Client '#],MATCH(B6,Table1[Name],0))),"")</f>
        <v/>
      </c>
      <c r="F6" s="8" t="str">
        <f>IFERROR((INDEX(Table1[YearFlag],MATCH(B6,Table1[Name],0))),"")</f>
        <v/>
      </c>
      <c r="G6" t="str">
        <f>IFERROR((INDEX(Table1[Qflag],MATCH(B6,Table1[Name],0))),"")</f>
        <v/>
      </c>
      <c r="H6">
        <f>IF(AND(Table2[[#This Row],[Year]]=1,Table2[[#This Row],[Victimization Type]]=Lists!$A$2,Table2[[#This Row],[Victim/Survivor''s Relationship to Offender]]=Lists!$A$14),1,0)</f>
        <v>0</v>
      </c>
      <c r="I6">
        <f>IF(AND(Table2[[#This Row],[Year]]=1,Table2[[#This Row],[Victimization Type]]=Lists!$A$2,Table2[[#This Row],[Victim/Survivor''s Relationship to Offender]]=Lists!$A$15),1,0)</f>
        <v>0</v>
      </c>
      <c r="J6">
        <f>IF(AND(Table2[[#This Row],[Year]]=1,Table2[[#This Row],[Victimization Type]]=Lists!$A$2,Table2[[#This Row],[Victim/Survivor''s Relationship to Offender]]=Lists!$A$16),1,0)</f>
        <v>0</v>
      </c>
      <c r="K6">
        <f>IF(AND(Table2[[#This Row],[Year]]=1,Table2[[#This Row],[Victimization Type]]=Lists!$A$2,Table2[[#This Row],[Victim/Survivor''s Relationship to Offender]]=Lists!$A$17),1,0)</f>
        <v>0</v>
      </c>
      <c r="L6">
        <f>IF(AND(Table2[[#This Row],[Year]]=1,Table2[[#This Row],[Victimization Type]]=Lists!$A$2,Table2[[#This Row],[Victim/Survivor''s Relationship to Offender]]=Lists!$A$18),1,0)</f>
        <v>0</v>
      </c>
      <c r="M6">
        <f>IF(AND(Table2[[#This Row],[Year]]=1,Table2[[#This Row],[Victimization Type]]=Lists!$A$2,Table2[[#This Row],[Victim/Survivor''s Relationship to Offender]]=Lists!$A$19),1,0)</f>
        <v>0</v>
      </c>
      <c r="N6">
        <f>IF(AND(Table2[[#This Row],[Year]]=1,Table2[[#This Row],[Victimization Type]]=Lists!$A$2,Table2[[#This Row],[Victim/Survivor''s Relationship to Offender]]=Lists!$A$20),1,0)</f>
        <v>0</v>
      </c>
      <c r="O6">
        <f>IF(AND(Table2[[#This Row],[Year]]=1,Table2[[#This Row],[Victimization Type]]=Lists!$A$3,Table2[[#This Row],[Victim/Survivor''s Relationship to Offender]]=Lists!$A$14),1,0)</f>
        <v>0</v>
      </c>
      <c r="P6">
        <f>IF(AND(Table2[[#This Row],[Year]]=1,Table2[[#This Row],[Victimization Type]]=Lists!$A$3,Table2[[#This Row],[Victim/Survivor''s Relationship to Offender]]=Lists!$A$15),1,0)</f>
        <v>0</v>
      </c>
      <c r="Q6">
        <f>IF(AND(Table2[[#This Row],[Year]]=1,Table2[[#This Row],[Victimization Type]]=Lists!$A$3,Table2[[#This Row],[Victim/Survivor''s Relationship to Offender]]=Lists!$A$16),1,0)</f>
        <v>0</v>
      </c>
      <c r="R6">
        <f>IF(AND(Table2[[#This Row],[Year]]=1,Table2[[#This Row],[Victimization Type]]=Lists!$A$3,Table2[[#This Row],[Victim/Survivor''s Relationship to Offender]]=Lists!$A$17),1,0)</f>
        <v>0</v>
      </c>
      <c r="S6">
        <f>IF(AND(Table2[[#This Row],[Year]]=1,Table2[[#This Row],[Victimization Type]]=Lists!$A$3,Table2[[#This Row],[Victim/Survivor''s Relationship to Offender]]=Lists!$A$18),1,0)</f>
        <v>0</v>
      </c>
      <c r="T6">
        <f>IF(AND(Table2[[#This Row],[Year]]=1,Table2[[#This Row],[Victimization Type]]=Lists!$A$3,Table2[[#This Row],[Victim/Survivor''s Relationship to Offender]]=Lists!$A$19),1,0)</f>
        <v>0</v>
      </c>
      <c r="U6">
        <f>IF(AND(Table2[[#This Row],[Year]]=1,Table2[[#This Row],[Victimization Type]]=Lists!$A$3,Table2[[#This Row],[Victim/Survivor''s Relationship to Offender]]=Lists!$A$20),1,0)</f>
        <v>0</v>
      </c>
      <c r="V6">
        <f>IF(AND(Table2[[#This Row],[Year]]=1,Table2[[#This Row],[Victimization Type]]=Lists!$A$4,Table2[[#This Row],[Victim/Survivor''s Relationship to Offender]]=Lists!$A$14),1,0)</f>
        <v>0</v>
      </c>
      <c r="W6">
        <f>IF(AND(Table2[[#This Row],[Year]]=1,Table2[[#This Row],[Victimization Type]]=Lists!$A$4,Table2[[#This Row],[Victim/Survivor''s Relationship to Offender]]=Lists!$A$15),1,0)</f>
        <v>0</v>
      </c>
      <c r="X6">
        <f>IF(AND(Table2[[#This Row],[Year]]=1,Table2[[#This Row],[Victimization Type]]=Lists!$A$4,Table2[[#This Row],[Victim/Survivor''s Relationship to Offender]]=Lists!$A$16),1,0)</f>
        <v>0</v>
      </c>
      <c r="Y6">
        <f>IF(AND(Table2[[#This Row],[Year]]=1,Table2[[#This Row],[Victimization Type]]=Lists!$A$4,Table2[[#This Row],[Victim/Survivor''s Relationship to Offender]]=Lists!$A$17),1,0)</f>
        <v>0</v>
      </c>
      <c r="Z6">
        <f>IF(AND(Table2[[#This Row],[Year]]=1,Table2[[#This Row],[Victimization Type]]=Lists!$A$4,Table2[[#This Row],[Victim/Survivor''s Relationship to Offender]]=Lists!$A$18),1,0)</f>
        <v>0</v>
      </c>
      <c r="AA6">
        <f>IF(AND(Table2[[#This Row],[Year]]=1,Table2[[#This Row],[Victimization Type]]=Lists!$A$4,Table2[[#This Row],[Victim/Survivor''s Relationship to Offender]]=Lists!$A$19),1,0)</f>
        <v>0</v>
      </c>
      <c r="AB6">
        <f>IF(AND(Table2[[#This Row],[Year]]=1,Table2[[#This Row],[Victimization Type]]=Lists!$A$4,Table2[[#This Row],[Victim/Survivor''s Relationship to Offender]]=Lists!$A$20),1,0)</f>
        <v>0</v>
      </c>
      <c r="AC6">
        <f>IF(AND(Table2[[#This Row],[Year]]=1,Table2[[#This Row],[Victimization Type]]=Lists!$A$5,Table2[[#This Row],[Victim/Survivor''s Relationship to Offender]]=Lists!$A$14),1,0)</f>
        <v>0</v>
      </c>
      <c r="AD6">
        <f>IF(AND(Table2[[#This Row],[Year]]=1,Table2[[#This Row],[Victimization Type]]=Lists!$A$5,Table2[[#This Row],[Victim/Survivor''s Relationship to Offender]]=Lists!$A$15),1,0)</f>
        <v>0</v>
      </c>
      <c r="AE6">
        <f>IF(AND(Table2[[#This Row],[Year]]=1,Table2[[#This Row],[Victimization Type]]=Lists!$A$5,Table2[[#This Row],[Victim/Survivor''s Relationship to Offender]]=Lists!$A$16),1,0)</f>
        <v>0</v>
      </c>
      <c r="AF6">
        <f>IF(AND(Table2[[#This Row],[Year]]=1,Table2[[#This Row],[Victimization Type]]=Lists!$A$5,Table2[[#This Row],[Victim/Survivor''s Relationship to Offender]]=Lists!$A$17),1,0)</f>
        <v>0</v>
      </c>
      <c r="AG6">
        <f>IF(AND(Table2[[#This Row],[Year]]=1,Table2[[#This Row],[Victimization Type]]=Lists!$A$5,Table2[[#This Row],[Victim/Survivor''s Relationship to Offender]]=Lists!$A$18),1,0)</f>
        <v>0</v>
      </c>
      <c r="AH6">
        <f>IF(AND(Table2[[#This Row],[Year]]=1,Table2[[#This Row],[Victimization Type]]=Lists!$A$5,Table2[[#This Row],[Victim/Survivor''s Relationship to Offender]]=Lists!$A$19),1,0)</f>
        <v>0</v>
      </c>
      <c r="AI6">
        <f>IF(AND(Table2[[#This Row],[Year]]=1,Table2[[#This Row],[Victimization Type]]=Lists!$A$5,Table2[[#This Row],[Victim/Survivor''s Relationship to Offender]]=Lists!$A$20),1,0)</f>
        <v>0</v>
      </c>
      <c r="AJ6">
        <f>IF(AND(Table2[[#This Row],[Quarter]]=1,Table2[[#This Row],[Victimization Type]]=Lists!$A$2,Table2[[#This Row],[Victim/Survivor''s Relationship to Offender]]=Lists!$A$14),1,0)</f>
        <v>0</v>
      </c>
      <c r="AK6">
        <f>IF(AND(Table2[[#This Row],[Quarter]]=1,Table2[[#This Row],[Victimization Type]]=Lists!$A$2,Table2[[#This Row],[Victim/Survivor''s Relationship to Offender]]=Lists!$A$15),1,0)</f>
        <v>0</v>
      </c>
      <c r="AL6">
        <f>IF(AND(Table2[[#This Row],[Quarter]]=1,Table2[[#This Row],[Victimization Type]]=Lists!$A$2,Table2[[#This Row],[Victim/Survivor''s Relationship to Offender]]=Lists!$A$16),1,0)</f>
        <v>0</v>
      </c>
      <c r="AM6">
        <f>IF(AND(Table2[[#This Row],[Quarter]]=1,Table2[[#This Row],[Victimization Type]]=Lists!$A$2,Table2[[#This Row],[Victim/Survivor''s Relationship to Offender]]=Lists!$A$17),1,0)</f>
        <v>0</v>
      </c>
      <c r="AN6">
        <f>IF(AND(Table2[[#This Row],[Quarter]]=1,Table2[[#This Row],[Victimization Type]]=Lists!$A$2,Table2[[#This Row],[Victim/Survivor''s Relationship to Offender]]=Lists!$A$18),1,0)</f>
        <v>0</v>
      </c>
      <c r="AO6">
        <f>IF(AND(Table2[[#This Row],[Quarter]]=1,Table2[[#This Row],[Victimization Type]]=Lists!$A$2,Table2[[#This Row],[Victim/Survivor''s Relationship to Offender]]=Lists!$A$19),1,0)</f>
        <v>0</v>
      </c>
      <c r="AP6">
        <f>IF(AND(Table2[[#This Row],[Quarter]]=1,Table2[[#This Row],[Victimization Type]]=Lists!$A$2,Table2[[#This Row],[Victim/Survivor''s Relationship to Offender]]=Lists!$A$20),1,0)</f>
        <v>0</v>
      </c>
      <c r="AQ6">
        <f>IF(AND(Table2[[#This Row],[Quarter]]=1,Table2[[#This Row],[Victimization Type]]=Lists!$A$3,Table2[[#This Row],[Victim/Survivor''s Relationship to Offender]]=Lists!$A$14),1,0)</f>
        <v>0</v>
      </c>
      <c r="AR6">
        <f>IF(AND(Table2[[#This Row],[Quarter]]=1,Table2[[#This Row],[Victimization Type]]=Lists!$A$3,Table2[[#This Row],[Victim/Survivor''s Relationship to Offender]]=Lists!$A$15),1,0)</f>
        <v>0</v>
      </c>
      <c r="AS6">
        <f>IF(AND(Table2[[#This Row],[Quarter]]=1,Table2[[#This Row],[Victimization Type]]=Lists!$A$3,Table2[[#This Row],[Victim/Survivor''s Relationship to Offender]]=Lists!$A$16),1,0)</f>
        <v>0</v>
      </c>
      <c r="AT6">
        <f>IF(AND(Table2[[#This Row],[Quarter]]=1,Table2[[#This Row],[Victimization Type]]=Lists!$A$3,Table2[[#This Row],[Victim/Survivor''s Relationship to Offender]]=Lists!$A$17),1,0)</f>
        <v>0</v>
      </c>
      <c r="AU6">
        <f>IF(AND(Table2[[#This Row],[Quarter]]=1,Table2[[#This Row],[Victimization Type]]=Lists!$A$3,Table2[[#This Row],[Victim/Survivor''s Relationship to Offender]]=Lists!$A$18),1,0)</f>
        <v>0</v>
      </c>
      <c r="AV6">
        <f>IF(AND(Table2[[#This Row],[Quarter]]=1,Table2[[#This Row],[Victimization Type]]=Lists!$A$3,Table2[[#This Row],[Victim/Survivor''s Relationship to Offender]]=Lists!$A$19),1,0)</f>
        <v>0</v>
      </c>
      <c r="AW6">
        <f>IF(AND(Table2[[#This Row],[Quarter]]=1,Table2[[#This Row],[Victimization Type]]=Lists!$A$3,Table2[[#This Row],[Victim/Survivor''s Relationship to Offender]]=Lists!$A$20),1,0)</f>
        <v>0</v>
      </c>
      <c r="AX6">
        <f>IF(AND(Table2[[#This Row],[Quarter]]=1,Table2[[#This Row],[Victimization Type]]=Lists!$A$4,Table2[[#This Row],[Victim/Survivor''s Relationship to Offender]]=Lists!$A$14),1,0)</f>
        <v>0</v>
      </c>
      <c r="AY6">
        <f>IF(AND(Table2[[#This Row],[Quarter]]=1,Table2[[#This Row],[Victimization Type]]=Lists!$A$4,Table2[[#This Row],[Victim/Survivor''s Relationship to Offender]]=Lists!$A$15),1,0)</f>
        <v>0</v>
      </c>
      <c r="AZ6">
        <f>IF(AND(Table2[[#This Row],[Quarter]]=1,Table2[[#This Row],[Victimization Type]]=Lists!$A$4,Table2[[#This Row],[Victim/Survivor''s Relationship to Offender]]=Lists!$A$16),1,0)</f>
        <v>0</v>
      </c>
      <c r="BA6">
        <f>IF(AND(Table2[[#This Row],[Quarter]]=1,Table2[[#This Row],[Victimization Type]]=Lists!$A$4,Table2[[#This Row],[Victim/Survivor''s Relationship to Offender]]=Lists!$A$17),1,0)</f>
        <v>0</v>
      </c>
      <c r="BB6">
        <f>IF(AND(Table2[[#This Row],[Quarter]]=1,Table2[[#This Row],[Victimization Type]]=Lists!$A$4,Table2[[#This Row],[Victim/Survivor''s Relationship to Offender]]=Lists!$A$18),1,0)</f>
        <v>0</v>
      </c>
      <c r="BC6">
        <f>IF(AND(Table2[[#This Row],[Quarter]]=1,Table2[[#This Row],[Victimization Type]]=Lists!$A$4,Table2[[#This Row],[Victim/Survivor''s Relationship to Offender]]=Lists!$A$19),1,0)</f>
        <v>0</v>
      </c>
      <c r="BD6">
        <f>IF(AND(Table2[[#This Row],[Quarter]]=1,Table2[[#This Row],[Victimization Type]]=Lists!$A$4,Table2[[#This Row],[Victim/Survivor''s Relationship to Offender]]=Lists!$A$20),1,0)</f>
        <v>0</v>
      </c>
      <c r="BE6">
        <f>IF(AND(Table2[[#This Row],[Quarter]]=1,Table2[[#This Row],[Victimization Type]]=Lists!$A$5,Table2[[#This Row],[Victim/Survivor''s Relationship to Offender]]=Lists!$A$14),1,0)</f>
        <v>0</v>
      </c>
      <c r="BF6">
        <f>IF(AND(Table2[[#This Row],[Quarter]]=1,Table2[[#This Row],[Victimization Type]]=Lists!$A$5,Table2[[#This Row],[Victim/Survivor''s Relationship to Offender]]=Lists!$A$15),1,0)</f>
        <v>0</v>
      </c>
      <c r="BG6">
        <f>IF(AND(Table2[[#This Row],[Quarter]]=1,Table2[[#This Row],[Victimization Type]]=Lists!$A$5,Table2[[#This Row],[Victim/Survivor''s Relationship to Offender]]=Lists!$A$16),1,0)</f>
        <v>0</v>
      </c>
      <c r="BH6">
        <f>IF(AND(Table2[[#This Row],[Quarter]]=1,Table2[[#This Row],[Victimization Type]]=Lists!$A$5,Table2[[#This Row],[Victim/Survivor''s Relationship to Offender]]=Lists!$A$17),1,0)</f>
        <v>0</v>
      </c>
      <c r="BI6">
        <f>IF(AND(Table2[[#This Row],[Quarter]]=1,Table2[[#This Row],[Victimization Type]]=Lists!$A$5,Table2[[#This Row],[Victim/Survivor''s Relationship to Offender]]=Lists!$A$18),1,0)</f>
        <v>0</v>
      </c>
      <c r="BJ6">
        <f>IF(AND(Table2[[#This Row],[Quarter]]=1,Table2[[#This Row],[Victimization Type]]=Lists!$A$5,Table2[[#This Row],[Victim/Survivor''s Relationship to Offender]]=Lists!$A$19),1,0)</f>
        <v>0</v>
      </c>
      <c r="BK6">
        <f>IF(AND(Table2[[#This Row],[Quarter]]=1,Table2[[#This Row],[Victimization Type]]=Lists!$A$5,Table2[[#This Row],[Victim/Survivor''s Relationship to Offender]]=Lists!$A$20),1,0)</f>
        <v>0</v>
      </c>
    </row>
  </sheetData>
  <mergeCells count="2">
    <mergeCell ref="B3:D3"/>
    <mergeCell ref="B4:D4"/>
  </mergeCells>
  <dataValidations count="1">
    <dataValidation type="list" allowBlank="1" showInputMessage="1" showErrorMessage="1" sqref="B1:B1048576" xr:uid="{00000000-0002-0000-0500-000000000000}">
      <formula1>ddName</formula1>
    </dataValidation>
  </dataValidations>
  <pageMargins left="0.7" right="0.7" top="0.75" bottom="0.75" header="0.3" footer="0.3"/>
  <pageSetup orientation="portrait" r:id="rId1"/>
  <ignoredErrors>
    <ignoredError sqref="B5" listDataValidatio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Lists!$A$2:$A$5</xm:f>
          </x14:formula1>
          <xm:sqref>C6</xm:sqref>
        </x14:dataValidation>
        <x14:dataValidation type="list" allowBlank="1" showInputMessage="1" showErrorMessage="1" xr:uid="{00000000-0002-0000-0500-000002000000}">
          <x14:formula1>
            <xm:f>Lists!$A$14:$A$20</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
  <sheetViews>
    <sheetView workbookViewId="0">
      <selection activeCell="A3" sqref="A3"/>
    </sheetView>
  </sheetViews>
  <sheetFormatPr defaultRowHeight="15" x14ac:dyDescent="0.25"/>
  <cols>
    <col min="1" max="1" width="23.375" customWidth="1"/>
    <col min="2" max="2" width="24.5" bestFit="1" customWidth="1"/>
    <col min="3" max="3" width="27.5" customWidth="1"/>
    <col min="4" max="11" width="9" hidden="1" customWidth="1"/>
    <col min="12" max="13" width="0" hidden="1" customWidth="1"/>
  </cols>
  <sheetData>
    <row r="1" spans="1:13" x14ac:dyDescent="0.25">
      <c r="A1" s="1" t="s">
        <v>327</v>
      </c>
    </row>
    <row r="2" spans="1:13" x14ac:dyDescent="0.25">
      <c r="A2" s="11" t="s">
        <v>0</v>
      </c>
      <c r="B2" s="11" t="s">
        <v>61</v>
      </c>
      <c r="C2" s="11" t="s">
        <v>1</v>
      </c>
      <c r="D2" s="38" t="s">
        <v>109</v>
      </c>
      <c r="E2" s="38" t="s">
        <v>269</v>
      </c>
      <c r="F2" s="38" t="s">
        <v>110</v>
      </c>
      <c r="G2" s="38" t="s">
        <v>111</v>
      </c>
      <c r="H2" s="38" t="s">
        <v>112</v>
      </c>
      <c r="I2" s="38" t="s">
        <v>377</v>
      </c>
      <c r="J2" s="11" t="s">
        <v>312</v>
      </c>
      <c r="K2" s="11" t="s">
        <v>313</v>
      </c>
      <c r="L2" s="11" t="s">
        <v>314</v>
      </c>
      <c r="M2" s="66" t="s">
        <v>378</v>
      </c>
    </row>
    <row r="3" spans="1:13" x14ac:dyDescent="0.25">
      <c r="B3" s="9"/>
      <c r="D3" s="8">
        <f>YEAR(Table9[[#This Row],[Date]])</f>
        <v>1900</v>
      </c>
      <c r="E3" s="8">
        <f>IF(AND(Table9[[#This Row],[Date]]&gt;='Quarterly SAPR Data'!$C$3,Table9[[#This Row],[Date]]&lt;='Quarterly SAPR Data'!$E$3),1,0)</f>
        <v>0</v>
      </c>
      <c r="F3" s="8">
        <f>IF(AND(Table9[[#This Row],[Year]]='Annual SAPR Data'!$C$3,Table9[[#This Row],[Presenting Victimization]]=Lists!$A$2),1,0)</f>
        <v>0</v>
      </c>
      <c r="G3" s="8">
        <f>IF(AND(Table9[[#This Row],[Year]]='Annual SAPR Data'!$C$3,Table9[[#This Row],[Presenting Victimization]]=Lists!$A$3),1,0)</f>
        <v>0</v>
      </c>
      <c r="H3" s="8">
        <f>IF(AND(Table9[[#This Row],[Year]]='Annual SAPR Data'!$C$3,Table9[[#This Row],[Presenting Victimization]]=Lists!$A$4),1,0)</f>
        <v>0</v>
      </c>
      <c r="I3" s="8">
        <f>IF(AND(Table9[[#This Row],[Year]]='Annual SAPR Data'!$C$3,Table9[[#This Row],[Presenting Victimization]]=Lists!$A$5),1,0)</f>
        <v>0</v>
      </c>
      <c r="J3" s="8">
        <f>IF(AND(Table9[[#This Row],[Quarter]]=1,Table9[[#This Row],[Presenting Victimization]]=Lists!$A$2),1,0)</f>
        <v>0</v>
      </c>
      <c r="K3" s="8">
        <f>IF(AND(Table9[[#This Row],[Quarter]]=1,Table9[[#This Row],[Presenting Victimization]]=Lists!$A$3),1,0)</f>
        <v>0</v>
      </c>
      <c r="L3" s="8">
        <f>IF(AND(Table9[[#This Row],[Quarter]]=1,Table9[[#This Row],[Presenting Victimization]]=Lists!$A$4),1,0)</f>
        <v>0</v>
      </c>
      <c r="M3" s="8">
        <f>IF(AND(Table9[[#This Row],[Quarter]]=1,Table9[[#This Row],[Presenting Victimization]]=Lists!$A$5),1,0)</f>
        <v>0</v>
      </c>
    </row>
  </sheetData>
  <dataValidations count="1">
    <dataValidation type="date" operator="greaterThanOrEqual" allowBlank="1" showInputMessage="1" showErrorMessage="1" sqref="B1:B1048576" xr:uid="{00000000-0002-0000-0600-000000000000}">
      <formula1>42370</formula1>
    </dataValidation>
  </dataValidations>
  <pageMargins left="0.7" right="0.7" top="0.75" bottom="0.75" header="0.3" footer="0.3"/>
  <ignoredErrors>
    <ignoredError sqref="B2" listDataValidation="1"/>
  </ignoredErrors>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Lists!$A$2:$A$5</xm:f>
          </x14:formula1>
          <xm:sqref>C3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
  <sheetViews>
    <sheetView workbookViewId="0">
      <selection activeCell="A5" sqref="A5"/>
    </sheetView>
  </sheetViews>
  <sheetFormatPr defaultRowHeight="15" x14ac:dyDescent="0.25"/>
  <cols>
    <col min="1" max="1" width="24" customWidth="1"/>
    <col min="2" max="2" width="14.5" customWidth="1"/>
    <col min="3" max="3" width="22.875" customWidth="1"/>
    <col min="4" max="4" width="38.375" bestFit="1" customWidth="1"/>
    <col min="5" max="5" width="16.375" hidden="1" customWidth="1"/>
    <col min="6" max="23" width="9" hidden="1" customWidth="1"/>
  </cols>
  <sheetData>
    <row r="1" spans="1:23" x14ac:dyDescent="0.25">
      <c r="A1" s="1" t="s">
        <v>317</v>
      </c>
    </row>
    <row r="2" spans="1:23" x14ac:dyDescent="0.25">
      <c r="A2" s="51" t="s">
        <v>328</v>
      </c>
    </row>
    <row r="3" spans="1:23" ht="60" customHeight="1" x14ac:dyDescent="0.25">
      <c r="A3" s="64" t="s">
        <v>329</v>
      </c>
      <c r="B3" s="64"/>
      <c r="C3" s="64"/>
      <c r="D3" s="64"/>
    </row>
    <row r="4" spans="1:23" x14ac:dyDescent="0.25">
      <c r="A4" s="11" t="s">
        <v>0</v>
      </c>
      <c r="B4" s="11" t="s">
        <v>61</v>
      </c>
      <c r="C4" s="11" t="s">
        <v>74</v>
      </c>
      <c r="D4" s="11" t="s">
        <v>59</v>
      </c>
      <c r="E4" s="38" t="s">
        <v>60</v>
      </c>
      <c r="F4" s="38" t="s">
        <v>109</v>
      </c>
      <c r="G4" s="38" t="s">
        <v>269</v>
      </c>
      <c r="H4" s="38" t="s">
        <v>132</v>
      </c>
      <c r="I4" s="38" t="s">
        <v>138</v>
      </c>
      <c r="J4" s="38" t="s">
        <v>133</v>
      </c>
      <c r="K4" s="38" t="s">
        <v>134</v>
      </c>
      <c r="L4" s="38" t="s">
        <v>135</v>
      </c>
      <c r="M4" s="38" t="s">
        <v>139</v>
      </c>
      <c r="N4" s="38" t="s">
        <v>136</v>
      </c>
      <c r="O4" s="38" t="s">
        <v>137</v>
      </c>
      <c r="P4" s="11" t="s">
        <v>298</v>
      </c>
      <c r="Q4" s="11" t="s">
        <v>299</v>
      </c>
      <c r="R4" s="11" t="s">
        <v>300</v>
      </c>
      <c r="S4" s="11" t="s">
        <v>301</v>
      </c>
      <c r="T4" s="11" t="s">
        <v>302</v>
      </c>
      <c r="U4" s="11" t="s">
        <v>303</v>
      </c>
      <c r="V4" s="11" t="s">
        <v>304</v>
      </c>
      <c r="W4" s="11" t="s">
        <v>305</v>
      </c>
    </row>
    <row r="5" spans="1:23" x14ac:dyDescent="0.25">
      <c r="B5" s="9"/>
      <c r="D5" s="10"/>
      <c r="E5" s="10">
        <f>1</f>
        <v>1</v>
      </c>
      <c r="F5">
        <f>YEAR(Table4[[#This Row],[Date]])</f>
        <v>1900</v>
      </c>
      <c r="G5">
        <f>IF(AND(Table4[[#This Row],[Date]]&gt;='Quarterly SAPR Data'!$C$3,Table4[[#This Row],[Date]]&lt;='Quarterly SAPR Data'!$E$3),1,0)</f>
        <v>0</v>
      </c>
      <c r="H5">
        <f>IF(AND(Table4[[#This Row],[Year]]='Annual SAPR Data'!$C$3,Table4[[#This Row],[Type of Shelter]]=Lists!$A$22),1,0)</f>
        <v>0</v>
      </c>
      <c r="I5">
        <f>IF(Table4[[#This Row],[ESCountVictim]]=1,(Table4[[#This Row],[Number of accompanying family members]]),0)</f>
        <v>0</v>
      </c>
      <c r="J5">
        <f>SUM(Table4[[#This Row],[ESCountVictim]:[ESCountFamily]])</f>
        <v>0</v>
      </c>
      <c r="K5" s="8">
        <f>Table4[[#This Row],[ESTotalVictims]]*Table4[[#This Row],[Number of nights]]</f>
        <v>0</v>
      </c>
      <c r="L5">
        <f>IF(AND(Table4[[#This Row],[Year]]='Annual SAPR Data'!$C$3,Table4[[#This Row],[Type of Shelter]]=Lists!$A$23),1,0)</f>
        <v>0</v>
      </c>
      <c r="M5">
        <f>IF(Table4[[#This Row],[THCountVictims]]=1,(Table4[[#This Row],[Number of accompanying family members]]),0)</f>
        <v>0</v>
      </c>
      <c r="N5">
        <f>SUM(Table4[[#This Row],[THCountVictims]:[THCountFamily]])</f>
        <v>0</v>
      </c>
      <c r="O5" s="8">
        <f>Table4[[#This Row],[THTotalVicitms]]*Table4[[#This Row],[Number of nights]]</f>
        <v>0</v>
      </c>
      <c r="P5">
        <f>IF(AND(Table4[[#This Row],[Quarter]]=1,Table4[[#This Row],[Type of Shelter]]=Lists!$A$22),1,0)</f>
        <v>0</v>
      </c>
      <c r="Q5">
        <f>IF(Table4[[#This Row],[ESCountVictimq]]=1,(Table4[[#This Row],[Number of accompanying family members]]),0)</f>
        <v>0</v>
      </c>
      <c r="R5">
        <f>SUM(Table4[[#This Row],[ESCountVictimq]:[ESCountFamilyq]])</f>
        <v>0</v>
      </c>
      <c r="S5" s="8">
        <f>Table4[[#This Row],[ESTotalVictimsq]]*Table4[[#This Row],[Number of nights]]</f>
        <v>0</v>
      </c>
      <c r="T5">
        <f>IF(AND(Table4[[#This Row],[Quarter]]=1,Table4[[#This Row],[Type of Shelter]]=Lists!$A$23),1,0)</f>
        <v>0</v>
      </c>
      <c r="U5">
        <f>IF(Table4[[#This Row],[THCountVictimsq]]=1,(Table4[[#This Row],[Number of accompanying family members]]),0)</f>
        <v>0</v>
      </c>
      <c r="V5">
        <f>SUM(Table4[[#This Row],[THCountVictimsq]:[THCountFamilyq]])</f>
        <v>0</v>
      </c>
      <c r="W5" s="8">
        <f>Table4[[#This Row],[THTotalVicitmsq]]*Table4[[#This Row],[Number of nights]]</f>
        <v>0</v>
      </c>
    </row>
  </sheetData>
  <mergeCells count="1">
    <mergeCell ref="A3:D3"/>
  </mergeCells>
  <dataValidations count="1">
    <dataValidation type="date" operator="greaterThanOrEqual" allowBlank="1" showInputMessage="1" showErrorMessage="1" sqref="B1:B1048576" xr:uid="{00000000-0002-0000-0700-000000000000}">
      <formula1>42370</formula1>
    </dataValidation>
  </dataValidations>
  <pageMargins left="0.7" right="0.7" top="0.75" bottom="0.75" header="0.3" footer="0.3"/>
  <pageSetup orientation="portrait" r:id="rId1"/>
  <ignoredErrors>
    <ignoredError sqref="B4:B5" listDataValidatio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Lists!$A$22:$A$23</xm:f>
          </x14:formula1>
          <xm:sqref>C5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
  <sheetViews>
    <sheetView workbookViewId="0">
      <selection activeCell="A2" sqref="A2"/>
    </sheetView>
  </sheetViews>
  <sheetFormatPr defaultRowHeight="15" x14ac:dyDescent="0.25"/>
  <cols>
    <col min="1" max="1" width="22" customWidth="1"/>
    <col min="2" max="2" width="13.375" customWidth="1"/>
    <col min="3" max="3" width="26" customWidth="1"/>
    <col min="4" max="9" width="9" hidden="1" customWidth="1"/>
  </cols>
  <sheetData>
    <row r="1" spans="1:9" ht="30" x14ac:dyDescent="0.25">
      <c r="A1" s="3" t="s">
        <v>320</v>
      </c>
      <c r="B1" s="3" t="s">
        <v>61</v>
      </c>
      <c r="C1" s="3" t="s">
        <v>318</v>
      </c>
      <c r="D1" s="39" t="s">
        <v>109</v>
      </c>
      <c r="E1" s="39" t="s">
        <v>269</v>
      </c>
      <c r="F1" s="39" t="s">
        <v>131</v>
      </c>
      <c r="G1" s="39" t="s">
        <v>130</v>
      </c>
      <c r="H1" s="3" t="s">
        <v>306</v>
      </c>
      <c r="I1" s="3" t="s">
        <v>307</v>
      </c>
    </row>
    <row r="2" spans="1:9" x14ac:dyDescent="0.25">
      <c r="B2" s="9"/>
      <c r="D2">
        <f>YEAR(Table5[[#This Row],[Date]])</f>
        <v>1900</v>
      </c>
      <c r="E2">
        <f>IF(AND(Table5[[#This Row],[Date]]&gt;='Quarterly SAPR Data'!$C$3,Table5[[#This Row],[Date]]&lt;='Quarterly SAPR Data'!$E$3),1,0)</f>
        <v>0</v>
      </c>
      <c r="F2">
        <f>IF(Table5[[#This Row],[Year]]='Annual SAPR Data'!$C$3,1,0)</f>
        <v>0</v>
      </c>
      <c r="G2">
        <f>IF(AND(Table5[[#This Row],[Year]]='Annual SAPR Data'!$C$3,Table5[[#This Row],[Was Caller a Primary Victim? (select "Yes" or "No")]]=Lists!$E$2),1,0)</f>
        <v>0</v>
      </c>
      <c r="H2">
        <f>IF(Table5[[#This Row],[Quarter]]=1,1,0)</f>
        <v>0</v>
      </c>
      <c r="I2">
        <f>IF(AND(Table5[[#This Row],[Quarter]]=1,Table5[[#This Row],[Was Caller a Primary Victim? (select "Yes" or "No")]]=Lists!$E$2),1,0)</f>
        <v>0</v>
      </c>
    </row>
  </sheetData>
  <dataValidations count="1">
    <dataValidation type="date" operator="greaterThanOrEqual" allowBlank="1" showInputMessage="1" showErrorMessage="1" sqref="B1:B1048576" xr:uid="{00000000-0002-0000-0800-000000000000}">
      <formula1>42370</formula1>
    </dataValidation>
  </dataValidations>
  <pageMargins left="0.7" right="0.7" top="0.75" bottom="0.75" header="0.3" footer="0.3"/>
  <ignoredErrors>
    <ignoredError sqref="B1" listDataValidation="1"/>
  </ignoredErrors>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Lists!$E$2:$E$3</xm:f>
          </x14:formula1>
          <xm:sqref>C2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workbookViewId="0">
      <selection activeCell="A3" sqref="A3"/>
    </sheetView>
  </sheetViews>
  <sheetFormatPr defaultRowHeight="15" x14ac:dyDescent="0.25"/>
  <cols>
    <col min="1" max="1" width="31.5" customWidth="1"/>
    <col min="2" max="2" width="17.5" customWidth="1"/>
    <col min="3" max="6" width="9" hidden="1" customWidth="1"/>
  </cols>
  <sheetData>
    <row r="1" spans="1:6" ht="92.25" customHeight="1" x14ac:dyDescent="0.25">
      <c r="A1" s="63" t="s">
        <v>319</v>
      </c>
      <c r="B1" s="63"/>
    </row>
    <row r="2" spans="1:6" x14ac:dyDescent="0.25">
      <c r="A2" s="11" t="s">
        <v>0</v>
      </c>
      <c r="B2" s="11" t="s">
        <v>61</v>
      </c>
      <c r="C2" s="38" t="s">
        <v>109</v>
      </c>
      <c r="D2" s="38" t="s">
        <v>269</v>
      </c>
      <c r="E2" s="38" t="s">
        <v>108</v>
      </c>
      <c r="F2" s="11" t="s">
        <v>308</v>
      </c>
    </row>
    <row r="3" spans="1:6" x14ac:dyDescent="0.25">
      <c r="B3" s="9"/>
      <c r="C3">
        <f>YEAR(Table6[[#This Row],[Date]])</f>
        <v>1900</v>
      </c>
      <c r="D3">
        <f>IF(AND(Table6[[#This Row],[Date]]&gt;='Quarterly SAPR Data'!$C$3,Table6[[#This Row],[Date]]&lt;='Quarterly SAPR Data'!$E$3),1,0)</f>
        <v>0</v>
      </c>
      <c r="E3">
        <f>IF(Table6[[#This Row],[Year]]='Annual SAPR Data'!$C$3,1,0)</f>
        <v>0</v>
      </c>
      <c r="F3">
        <f>IF(Table6[[#This Row],[Quarter]]=1,1,0)</f>
        <v>0</v>
      </c>
    </row>
  </sheetData>
  <mergeCells count="1">
    <mergeCell ref="A1:B1"/>
  </mergeCells>
  <dataValidations count="1">
    <dataValidation type="date" operator="greaterThanOrEqual" allowBlank="1" showInputMessage="1" showErrorMessage="1" sqref="B1:B1048576" xr:uid="{00000000-0002-0000-0900-000000000000}">
      <formula1>42370</formula1>
    </dataValidation>
  </dataValidations>
  <pageMargins left="0.7" right="0.7" top="0.75" bottom="0.75" header="0.3" footer="0.3"/>
  <ignoredErrors>
    <ignoredError sqref="B2" listDataValidation="1"/>
  </ignoredErrors>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3"/>
  <sheetViews>
    <sheetView workbookViewId="0">
      <selection activeCell="A3" sqref="A3"/>
    </sheetView>
  </sheetViews>
  <sheetFormatPr defaultRowHeight="15" x14ac:dyDescent="0.25"/>
  <cols>
    <col min="1" max="1" width="20.125" customWidth="1"/>
    <col min="2" max="2" width="27.125" bestFit="1" customWidth="1"/>
    <col min="3" max="3" width="23.625" customWidth="1"/>
    <col min="4" max="9" width="9" hidden="1" customWidth="1"/>
  </cols>
  <sheetData>
    <row r="1" spans="1:9" ht="30" customHeight="1" x14ac:dyDescent="0.25">
      <c r="A1" s="63" t="s">
        <v>451</v>
      </c>
      <c r="B1" s="63"/>
      <c r="C1" s="63"/>
    </row>
    <row r="2" spans="1:9" x14ac:dyDescent="0.25">
      <c r="A2" s="11" t="s">
        <v>0</v>
      </c>
      <c r="B2" s="11" t="s">
        <v>62</v>
      </c>
      <c r="C2" s="11" t="s">
        <v>323</v>
      </c>
      <c r="D2" s="38" t="s">
        <v>109</v>
      </c>
      <c r="E2" s="38" t="s">
        <v>269</v>
      </c>
      <c r="F2" s="38" t="s">
        <v>444</v>
      </c>
      <c r="G2" s="38" t="s">
        <v>445</v>
      </c>
      <c r="H2" s="11" t="s">
        <v>446</v>
      </c>
      <c r="I2" s="11" t="s">
        <v>447</v>
      </c>
    </row>
    <row r="3" spans="1:9" x14ac:dyDescent="0.25">
      <c r="C3" s="9"/>
      <c r="D3">
        <f>YEAR(Table7[[#This Row],[Date Requested]])</f>
        <v>1900</v>
      </c>
      <c r="E3">
        <f>IF(AND(Table7[[#This Row],[Date Requested]]&gt;='Quarterly SAPR Data'!$C$3,Table7[[#This Row],[Date Requested]]&lt;='Quarterly SAPR Data'!$E$3),1,0)</f>
        <v>0</v>
      </c>
      <c r="F3">
        <f>IF(AND(Table7[[#This Row],[Year]]='Annual SAPR Data'!$C$3,Table7[[#This Row],[Protection Order Type]]=Lists!$E$18),1,0)</f>
        <v>0</v>
      </c>
      <c r="G3">
        <f>IF(AND(Table7[[#This Row],[Year]]='Annual SAPR Data'!$C$3,Table7[[#This Row],[Protection Order Type]]=Lists!$E$19),1,0)</f>
        <v>0</v>
      </c>
      <c r="H3">
        <f>IF(AND(Table7[[#This Row],[Quarter]]=1,Table7[[#This Row],[Protection Order Type]]=Lists!$E$18),1,0)</f>
        <v>0</v>
      </c>
      <c r="I3">
        <f>IF(AND(Table7[[#This Row],[Quarter]]=1,Table7[[#This Row],[Protection Order Type]]=Lists!$E$19),1,0)</f>
        <v>0</v>
      </c>
    </row>
  </sheetData>
  <mergeCells count="1">
    <mergeCell ref="A1:C1"/>
  </mergeCells>
  <dataValidations count="1">
    <dataValidation type="date" operator="greaterThanOrEqual" allowBlank="1" showInputMessage="1" showErrorMessage="1" sqref="C1:C1048576" xr:uid="{00000000-0002-0000-0A00-000000000000}">
      <formula1>42370</formula1>
    </dataValidation>
  </dataValidations>
  <pageMargins left="0.7" right="0.7" top="0.75" bottom="0.75" header="0.3" footer="0.3"/>
  <ignoredErrors>
    <ignoredError sqref="C2" listDataValidation="1"/>
  </ignoredErrors>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Lists!$E$18:$E$19</xm:f>
          </x14:formula1>
          <xm:sqref>B3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3"/>
  <sheetViews>
    <sheetView workbookViewId="0">
      <selection activeCell="E11" sqref="E11"/>
    </sheetView>
  </sheetViews>
  <sheetFormatPr defaultRowHeight="15" x14ac:dyDescent="0.25"/>
  <sheetData>
    <row r="1" spans="1:8" x14ac:dyDescent="0.25">
      <c r="A1" s="1" t="s">
        <v>1</v>
      </c>
      <c r="E1" s="1" t="s">
        <v>31</v>
      </c>
      <c r="H1" s="1"/>
    </row>
    <row r="2" spans="1:8" x14ac:dyDescent="0.25">
      <c r="A2" t="s">
        <v>2</v>
      </c>
      <c r="E2" t="s">
        <v>32</v>
      </c>
    </row>
    <row r="3" spans="1:8" x14ac:dyDescent="0.25">
      <c r="A3" t="s">
        <v>3</v>
      </c>
      <c r="E3" t="s">
        <v>33</v>
      </c>
    </row>
    <row r="4" spans="1:8" x14ac:dyDescent="0.25">
      <c r="A4" t="s">
        <v>4</v>
      </c>
    </row>
    <row r="5" spans="1:8" x14ac:dyDescent="0.25">
      <c r="A5" t="s">
        <v>335</v>
      </c>
      <c r="E5" s="1" t="s">
        <v>50</v>
      </c>
    </row>
    <row r="6" spans="1:8" x14ac:dyDescent="0.25">
      <c r="A6" s="1" t="s">
        <v>21</v>
      </c>
      <c r="C6" s="1" t="s">
        <v>26</v>
      </c>
      <c r="E6" t="s">
        <v>51</v>
      </c>
    </row>
    <row r="7" spans="1:8" x14ac:dyDescent="0.25">
      <c r="A7" t="s">
        <v>22</v>
      </c>
      <c r="C7" t="s">
        <v>27</v>
      </c>
      <c r="E7" t="s">
        <v>52</v>
      </c>
    </row>
    <row r="8" spans="1:8" x14ac:dyDescent="0.25">
      <c r="A8" t="s">
        <v>23</v>
      </c>
      <c r="C8" t="s">
        <v>28</v>
      </c>
      <c r="E8" t="s">
        <v>53</v>
      </c>
    </row>
    <row r="9" spans="1:8" x14ac:dyDescent="0.25">
      <c r="A9" t="s">
        <v>24</v>
      </c>
      <c r="C9" t="s">
        <v>29</v>
      </c>
      <c r="E9" t="s">
        <v>54</v>
      </c>
    </row>
    <row r="10" spans="1:8" x14ac:dyDescent="0.25">
      <c r="A10" t="s">
        <v>25</v>
      </c>
      <c r="C10" t="s">
        <v>30</v>
      </c>
      <c r="E10" t="s">
        <v>433</v>
      </c>
    </row>
    <row r="11" spans="1:8" x14ac:dyDescent="0.25">
      <c r="C11" t="s">
        <v>25</v>
      </c>
      <c r="E11" t="s">
        <v>55</v>
      </c>
    </row>
    <row r="12" spans="1:8" x14ac:dyDescent="0.25">
      <c r="E12" t="s">
        <v>56</v>
      </c>
    </row>
    <row r="13" spans="1:8" x14ac:dyDescent="0.25">
      <c r="A13" s="1" t="s">
        <v>44</v>
      </c>
      <c r="E13" t="s">
        <v>57</v>
      </c>
    </row>
    <row r="14" spans="1:8" x14ac:dyDescent="0.25">
      <c r="A14" t="s">
        <v>41</v>
      </c>
      <c r="E14" t="s">
        <v>19</v>
      </c>
    </row>
    <row r="15" spans="1:8" x14ac:dyDescent="0.25">
      <c r="A15" t="s">
        <v>42</v>
      </c>
      <c r="E15" t="s">
        <v>58</v>
      </c>
    </row>
    <row r="16" spans="1:8" x14ac:dyDescent="0.25">
      <c r="A16" t="s">
        <v>43</v>
      </c>
      <c r="E16" t="s">
        <v>20</v>
      </c>
    </row>
    <row r="17" spans="1:5" x14ac:dyDescent="0.25">
      <c r="A17" t="s">
        <v>45</v>
      </c>
      <c r="E17" s="1" t="s">
        <v>62</v>
      </c>
    </row>
    <row r="18" spans="1:5" x14ac:dyDescent="0.25">
      <c r="A18" t="s">
        <v>46</v>
      </c>
      <c r="E18" t="s">
        <v>63</v>
      </c>
    </row>
    <row r="19" spans="1:5" x14ac:dyDescent="0.25">
      <c r="A19" t="s">
        <v>25</v>
      </c>
      <c r="E19" t="s">
        <v>64</v>
      </c>
    </row>
    <row r="20" spans="1:5" x14ac:dyDescent="0.25">
      <c r="A20" t="s">
        <v>20</v>
      </c>
    </row>
    <row r="21" spans="1:5" x14ac:dyDescent="0.25">
      <c r="A21" s="1" t="s">
        <v>75</v>
      </c>
    </row>
    <row r="22" spans="1:5" x14ac:dyDescent="0.25">
      <c r="A22" t="s">
        <v>76</v>
      </c>
    </row>
    <row r="23" spans="1:5" x14ac:dyDescent="0.25">
      <c r="A23" t="s">
        <v>77</v>
      </c>
    </row>
  </sheetData>
  <sheetProtection algorithmName="SHA-512" hashValue="8X50Vr4/cLvPnCnzbPLR4Od8JqrMv1NLVpoHRy5kGkv99W/3TOSJH2IKf1TRqRCeTcck0bnZb0U1yuC4t0abgQ==" saltValue="AXu6Llp2UfRGdek0pZKSP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Quarterly SAPR Data</vt:lpstr>
      <vt:lpstr>Annual SAPR Data</vt:lpstr>
      <vt:lpstr>Victims Served_Partially Served</vt:lpstr>
      <vt:lpstr>Victims Not Served</vt:lpstr>
      <vt:lpstr>Service Log</vt:lpstr>
      <vt:lpstr>Victim_Offender Relationship</vt:lpstr>
      <vt:lpstr>Secondary Victims</vt:lpstr>
      <vt:lpstr>Shelter Services</vt:lpstr>
      <vt:lpstr>Hotlines</vt:lpstr>
      <vt:lpstr>Victim_Witness Outreach</vt:lpstr>
      <vt:lpstr>Protection Orders</vt:lpstr>
      <vt:lpstr>Lists</vt:lpstr>
      <vt:lpstr>'Annual SAPR Data'!ddName</vt:lpstr>
      <vt:lpstr>'Quarterly SAPR Data'!ddName</vt:lpstr>
      <vt:lpstr>ddName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ISPuser</dc:creator>
  <cp:lastModifiedBy>Strauss, Thomas</cp:lastModifiedBy>
  <cp:lastPrinted>2022-03-11T21:57:36Z</cp:lastPrinted>
  <dcterms:created xsi:type="dcterms:W3CDTF">2022-03-09T20:46:40Z</dcterms:created>
  <dcterms:modified xsi:type="dcterms:W3CDTF">2024-05-07T19:26:13Z</dcterms:modified>
</cp:coreProperties>
</file>